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 filterPrivacy="1" defaultThemeVersion="124226"/>
  <xr:revisionPtr revIDLastSave="0" documentId="13_ncr:1_{33629375-B66D-4D56-A951-4D35B94DA93E}" xr6:coauthVersionLast="47" xr6:coauthVersionMax="47" xr10:uidLastSave="{00000000-0000-0000-0000-000000000000}"/>
  <bookViews>
    <workbookView xWindow="-120" yWindow="-120" windowWidth="29040" windowHeight="15720" tabRatio="882" xr2:uid="{00000000-000D-0000-FFFF-FFFF00000000}"/>
  </bookViews>
  <sheets>
    <sheet name="Kainos" sheetId="9" r:id="rId1"/>
    <sheet name="DG_SK, Trumpal. kainos" sheetId="11" r:id="rId2"/>
    <sheet name="SK skaičiavimas_Vieningi" sheetId="13" r:id="rId3"/>
  </sheets>
  <definedNames>
    <definedName name="_xlnm._FilterDatabase" localSheetId="1" hidden="1">'DG_SK, Trumpal. kainos'!#REF!</definedName>
    <definedName name="_xlnm._FilterDatabase" localSheetId="0" hidden="1">Kainos!#REF!</definedName>
    <definedName name="_xlnm._FilterDatabase" localSheetId="2" hidden="1">'SK skaičiavimas_Vieningi'!#REF!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G90" i="9" l="1"/>
  <c r="I90" i="9"/>
  <c r="G106" i="9"/>
  <c r="H90" i="9"/>
  <c r="J90" i="9"/>
  <c r="AQ141" i="11" l="1"/>
  <c r="AP141" i="11"/>
  <c r="AO141" i="11"/>
  <c r="AN141" i="11"/>
  <c r="AM141" i="11"/>
  <c r="AL141" i="11"/>
  <c r="AK141" i="11"/>
  <c r="AJ141" i="11"/>
  <c r="AI141" i="11"/>
  <c r="AH141" i="11"/>
  <c r="AG141" i="11"/>
  <c r="AF141" i="11"/>
  <c r="AE141" i="11"/>
  <c r="AD141" i="11"/>
  <c r="AC141" i="11"/>
  <c r="AB141" i="11"/>
  <c r="AA141" i="11"/>
  <c r="Z141" i="11"/>
  <c r="Y141" i="11"/>
  <c r="X141" i="11"/>
  <c r="W141" i="11"/>
  <c r="V141" i="11"/>
  <c r="U141" i="11"/>
  <c r="T141" i="11"/>
  <c r="S141" i="11"/>
  <c r="R141" i="11"/>
  <c r="Q141" i="11"/>
  <c r="P141" i="11"/>
  <c r="O141" i="11"/>
  <c r="N141" i="11"/>
  <c r="M141" i="11"/>
  <c r="L141" i="11"/>
  <c r="K141" i="11"/>
  <c r="J141" i="11"/>
  <c r="I141" i="11"/>
  <c r="H141" i="11"/>
  <c r="G141" i="11"/>
  <c r="F141" i="11"/>
  <c r="E141" i="11"/>
  <c r="D141" i="11"/>
  <c r="AQ140" i="11"/>
  <c r="AP140" i="11"/>
  <c r="AO140" i="11"/>
  <c r="AN140" i="11"/>
  <c r="AM140" i="11"/>
  <c r="AL140" i="11"/>
  <c r="AK140" i="11"/>
  <c r="AJ140" i="11"/>
  <c r="AI140" i="11"/>
  <c r="AH140" i="11"/>
  <c r="AG140" i="11"/>
  <c r="AF140" i="11"/>
  <c r="AE140" i="11"/>
  <c r="AD140" i="11"/>
  <c r="AC140" i="11"/>
  <c r="AB140" i="11"/>
  <c r="AA140" i="11"/>
  <c r="Z140" i="11"/>
  <c r="Y140" i="11"/>
  <c r="X140" i="11"/>
  <c r="W140" i="11"/>
  <c r="V140" i="11"/>
  <c r="U140" i="11"/>
  <c r="T140" i="11"/>
  <c r="S140" i="11"/>
  <c r="R140" i="11"/>
  <c r="Q140" i="11"/>
  <c r="P140" i="11"/>
  <c r="O140" i="11"/>
  <c r="N140" i="11"/>
  <c r="M140" i="11"/>
  <c r="L140" i="11"/>
  <c r="K140" i="11"/>
  <c r="J140" i="11"/>
  <c r="I140" i="11"/>
  <c r="H140" i="11"/>
  <c r="G140" i="11"/>
  <c r="F140" i="11"/>
  <c r="E140" i="11"/>
  <c r="D140" i="11"/>
  <c r="AQ123" i="11"/>
  <c r="AP123" i="11"/>
  <c r="AO123" i="11"/>
  <c r="AN123" i="11"/>
  <c r="AM123" i="11"/>
  <c r="AL123" i="11"/>
  <c r="AK123" i="11"/>
  <c r="AJ123" i="11"/>
  <c r="AI123" i="11"/>
  <c r="AH123" i="11"/>
  <c r="AG123" i="11"/>
  <c r="AF123" i="11"/>
  <c r="AE123" i="11"/>
  <c r="AD123" i="11"/>
  <c r="AC123" i="11"/>
  <c r="AB123" i="11"/>
  <c r="AA123" i="11"/>
  <c r="Z123" i="11"/>
  <c r="Y123" i="11"/>
  <c r="X123" i="11"/>
  <c r="W123" i="11"/>
  <c r="V123" i="11"/>
  <c r="U123" i="11"/>
  <c r="T123" i="11"/>
  <c r="S123" i="11"/>
  <c r="R123" i="11"/>
  <c r="Q123" i="11"/>
  <c r="P123" i="11"/>
  <c r="O123" i="11"/>
  <c r="N123" i="11"/>
  <c r="M123" i="11"/>
  <c r="L123" i="11"/>
  <c r="K123" i="11"/>
  <c r="J123" i="11"/>
  <c r="I123" i="11"/>
  <c r="H123" i="11"/>
  <c r="G123" i="11"/>
  <c r="F123" i="11"/>
  <c r="E123" i="11"/>
  <c r="D123" i="11"/>
  <c r="AQ122" i="11"/>
  <c r="AP122" i="11"/>
  <c r="AO122" i="11"/>
  <c r="AN122" i="11"/>
  <c r="AM122" i="11"/>
  <c r="AL122" i="11"/>
  <c r="AK122" i="11"/>
  <c r="AJ122" i="11"/>
  <c r="AI122" i="11"/>
  <c r="AH122" i="11"/>
  <c r="AG122" i="11"/>
  <c r="AF122" i="11"/>
  <c r="AE122" i="11"/>
  <c r="AD122" i="11"/>
  <c r="AC122" i="11"/>
  <c r="AB122" i="11"/>
  <c r="AA122" i="11"/>
  <c r="Z122" i="11"/>
  <c r="Y122" i="11"/>
  <c r="X122" i="11"/>
  <c r="W122" i="11"/>
  <c r="V122" i="11"/>
  <c r="U122" i="11"/>
  <c r="T122" i="11"/>
  <c r="S122" i="11"/>
  <c r="R122" i="11"/>
  <c r="Q122" i="11"/>
  <c r="P122" i="11"/>
  <c r="O122" i="11"/>
  <c r="N122" i="11"/>
  <c r="M122" i="11"/>
  <c r="L122" i="11"/>
  <c r="K122" i="11"/>
  <c r="J122" i="11"/>
  <c r="I122" i="11"/>
  <c r="H122" i="11"/>
  <c r="G122" i="11"/>
  <c r="F122" i="11"/>
  <c r="E122" i="11"/>
  <c r="D122" i="11"/>
  <c r="AQ105" i="11"/>
  <c r="AP105" i="11"/>
  <c r="AO105" i="11"/>
  <c r="AN105" i="11"/>
  <c r="AM105" i="11"/>
  <c r="AL105" i="11"/>
  <c r="AK105" i="11"/>
  <c r="AJ105" i="11"/>
  <c r="AI105" i="11"/>
  <c r="AH105" i="11"/>
  <c r="AG105" i="11"/>
  <c r="AF105" i="11"/>
  <c r="AE105" i="11"/>
  <c r="AD105" i="11"/>
  <c r="AC105" i="11"/>
  <c r="AB105" i="11"/>
  <c r="AA105" i="11"/>
  <c r="Z105" i="11"/>
  <c r="Y105" i="11"/>
  <c r="X105" i="11"/>
  <c r="W105" i="11"/>
  <c r="V105" i="11"/>
  <c r="U105" i="11"/>
  <c r="T105" i="11"/>
  <c r="S105" i="11"/>
  <c r="R105" i="11"/>
  <c r="Q105" i="11"/>
  <c r="P105" i="11"/>
  <c r="O105" i="11"/>
  <c r="N105" i="11"/>
  <c r="M105" i="11"/>
  <c r="L105" i="11"/>
  <c r="K105" i="11"/>
  <c r="J105" i="11"/>
  <c r="I105" i="11"/>
  <c r="H105" i="11"/>
  <c r="G105" i="11"/>
  <c r="F105" i="11"/>
  <c r="E105" i="11"/>
  <c r="D105" i="11"/>
  <c r="AQ104" i="11"/>
  <c r="AP104" i="11"/>
  <c r="AO104" i="11"/>
  <c r="AN104" i="11"/>
  <c r="AM104" i="11"/>
  <c r="AL104" i="11"/>
  <c r="AK104" i="11"/>
  <c r="AJ104" i="11"/>
  <c r="AI104" i="11"/>
  <c r="AH104" i="11"/>
  <c r="AG104" i="11"/>
  <c r="AF104" i="11"/>
  <c r="AE104" i="11"/>
  <c r="AD104" i="11"/>
  <c r="AC104" i="11"/>
  <c r="AB104" i="11"/>
  <c r="AA104" i="11"/>
  <c r="Z104" i="11"/>
  <c r="Y104" i="11"/>
  <c r="X104" i="11"/>
  <c r="W104" i="11"/>
  <c r="V104" i="11"/>
  <c r="U104" i="11"/>
  <c r="T104" i="11"/>
  <c r="S104" i="11"/>
  <c r="R104" i="11"/>
  <c r="Q104" i="11"/>
  <c r="P104" i="11"/>
  <c r="O104" i="11"/>
  <c r="N104" i="11"/>
  <c r="M104" i="11"/>
  <c r="L104" i="11"/>
  <c r="K104" i="11"/>
  <c r="J104" i="11"/>
  <c r="I104" i="11"/>
  <c r="H104" i="11"/>
  <c r="G104" i="11"/>
  <c r="F104" i="11"/>
  <c r="E104" i="11"/>
  <c r="D104" i="11"/>
  <c r="AQ87" i="11"/>
  <c r="AP87" i="11"/>
  <c r="AO87" i="11"/>
  <c r="AN87" i="11"/>
  <c r="AM87" i="11"/>
  <c r="AL87" i="11"/>
  <c r="AK87" i="11"/>
  <c r="AJ87" i="11"/>
  <c r="AI87" i="11"/>
  <c r="AH87" i="11"/>
  <c r="AG87" i="11"/>
  <c r="AF87" i="11"/>
  <c r="AE87" i="11"/>
  <c r="AD87" i="11"/>
  <c r="AC87" i="11"/>
  <c r="AB87" i="11"/>
  <c r="AA87" i="11"/>
  <c r="Z87" i="11"/>
  <c r="Y87" i="11"/>
  <c r="X87" i="11"/>
  <c r="W87" i="11"/>
  <c r="V87" i="11"/>
  <c r="U87" i="11"/>
  <c r="T87" i="11"/>
  <c r="S87" i="11"/>
  <c r="R87" i="11"/>
  <c r="Q87" i="11"/>
  <c r="P87" i="11"/>
  <c r="O87" i="11"/>
  <c r="N87" i="11"/>
  <c r="M87" i="11"/>
  <c r="L87" i="11"/>
  <c r="K87" i="11"/>
  <c r="J87" i="11"/>
  <c r="I87" i="11"/>
  <c r="H87" i="11"/>
  <c r="G87" i="11"/>
  <c r="F87" i="11"/>
  <c r="E87" i="11"/>
  <c r="D87" i="11"/>
  <c r="AQ86" i="11"/>
  <c r="AP86" i="11"/>
  <c r="AO86" i="11"/>
  <c r="AN86" i="11"/>
  <c r="AM86" i="11"/>
  <c r="AL86" i="11"/>
  <c r="AK86" i="11"/>
  <c r="AJ86" i="11"/>
  <c r="AI86" i="11"/>
  <c r="AH86" i="11"/>
  <c r="AG86" i="11"/>
  <c r="AF86" i="11"/>
  <c r="AE86" i="11"/>
  <c r="AD86" i="11"/>
  <c r="AC86" i="11"/>
  <c r="AB86" i="11"/>
  <c r="AA86" i="11"/>
  <c r="Z86" i="11"/>
  <c r="Y86" i="11"/>
  <c r="X86" i="11"/>
  <c r="W86" i="11"/>
  <c r="V86" i="11"/>
  <c r="U86" i="11"/>
  <c r="T86" i="11"/>
  <c r="S86" i="11"/>
  <c r="R86" i="11"/>
  <c r="Q86" i="11"/>
  <c r="P86" i="11"/>
  <c r="O86" i="11"/>
  <c r="N86" i="11"/>
  <c r="M86" i="11"/>
  <c r="L86" i="11"/>
  <c r="K86" i="11"/>
  <c r="J86" i="11"/>
  <c r="I86" i="11"/>
  <c r="H86" i="11"/>
  <c r="G86" i="11"/>
  <c r="F86" i="11"/>
  <c r="E86" i="11"/>
  <c r="D86" i="11"/>
  <c r="D69" i="11" l="1"/>
  <c r="E69" i="11"/>
  <c r="F69" i="11"/>
  <c r="G69" i="11"/>
  <c r="H69" i="11"/>
  <c r="I69" i="11"/>
  <c r="J69" i="11"/>
  <c r="K69" i="11"/>
  <c r="L69" i="11"/>
  <c r="M69" i="11"/>
  <c r="N69" i="11"/>
  <c r="O69" i="11"/>
  <c r="P69" i="11"/>
  <c r="Q69" i="11"/>
  <c r="R69" i="11"/>
  <c r="S69" i="11"/>
  <c r="T69" i="11"/>
  <c r="U69" i="11"/>
  <c r="V69" i="11"/>
  <c r="W69" i="11"/>
  <c r="X69" i="11"/>
  <c r="Y69" i="11"/>
  <c r="Z69" i="11"/>
  <c r="AA69" i="11"/>
  <c r="AB69" i="11"/>
  <c r="AC69" i="11"/>
  <c r="AD69" i="11"/>
  <c r="AE69" i="11"/>
  <c r="AF69" i="11"/>
  <c r="AG69" i="11"/>
  <c r="AH69" i="11"/>
  <c r="AI69" i="11"/>
  <c r="AJ69" i="11"/>
  <c r="AK69" i="11"/>
  <c r="AL69" i="11"/>
  <c r="AM69" i="11"/>
  <c r="AN69" i="11"/>
  <c r="AO69" i="11"/>
  <c r="AP69" i="11"/>
  <c r="AQ69" i="11"/>
  <c r="D70" i="11"/>
  <c r="E70" i="11"/>
  <c r="F70" i="11"/>
  <c r="G70" i="11"/>
  <c r="H70" i="11"/>
  <c r="I70" i="11"/>
  <c r="J70" i="11"/>
  <c r="K70" i="11"/>
  <c r="L70" i="11"/>
  <c r="M70" i="11"/>
  <c r="N70" i="11"/>
  <c r="O70" i="11"/>
  <c r="P70" i="11"/>
  <c r="Q70" i="11"/>
  <c r="R70" i="11"/>
  <c r="S70" i="11"/>
  <c r="T70" i="11"/>
  <c r="U70" i="11"/>
  <c r="V70" i="11"/>
  <c r="W70" i="11"/>
  <c r="X70" i="11"/>
  <c r="Y70" i="11"/>
  <c r="Z70" i="11"/>
  <c r="AA70" i="11"/>
  <c r="AB70" i="11"/>
  <c r="AC70" i="11"/>
  <c r="AD70" i="11"/>
  <c r="AE70" i="11"/>
  <c r="AF70" i="11"/>
  <c r="AG70" i="11"/>
  <c r="AH70" i="11"/>
  <c r="AI70" i="11"/>
  <c r="AJ70" i="11"/>
  <c r="AK70" i="11"/>
  <c r="AL70" i="11"/>
  <c r="AM70" i="11"/>
  <c r="AN70" i="11"/>
  <c r="AO70" i="11"/>
  <c r="AP70" i="11"/>
  <c r="AQ70" i="11"/>
  <c r="D52" i="11"/>
  <c r="E52" i="11"/>
  <c r="F52" i="11"/>
  <c r="G52" i="11"/>
  <c r="H52" i="11"/>
  <c r="I52" i="11"/>
  <c r="J52" i="11"/>
  <c r="K52" i="11"/>
  <c r="L52" i="11"/>
  <c r="M52" i="11"/>
  <c r="N52" i="11"/>
  <c r="O52" i="11"/>
  <c r="P52" i="11"/>
  <c r="Q52" i="11"/>
  <c r="R52" i="11"/>
  <c r="S52" i="11"/>
  <c r="T52" i="11"/>
  <c r="U52" i="11"/>
  <c r="V52" i="11"/>
  <c r="W52" i="11"/>
  <c r="X52" i="11"/>
  <c r="Y52" i="11"/>
  <c r="Z52" i="11"/>
  <c r="AA52" i="11"/>
  <c r="AB52" i="11"/>
  <c r="AC52" i="11"/>
  <c r="AD52" i="11"/>
  <c r="AE52" i="11"/>
  <c r="AF52" i="11"/>
  <c r="AG52" i="11"/>
  <c r="AH52" i="11"/>
  <c r="AI52" i="11"/>
  <c r="AJ52" i="11"/>
  <c r="AK52" i="11"/>
  <c r="AL52" i="11"/>
  <c r="AM52" i="11"/>
  <c r="AN52" i="11"/>
  <c r="AO52" i="11"/>
  <c r="AP52" i="11"/>
  <c r="AQ52" i="11"/>
  <c r="D53" i="11"/>
  <c r="E53" i="11"/>
  <c r="F53" i="11"/>
  <c r="G53" i="11"/>
  <c r="H53" i="11"/>
  <c r="I53" i="11"/>
  <c r="J53" i="11"/>
  <c r="K53" i="11"/>
  <c r="L53" i="11"/>
  <c r="M53" i="11"/>
  <c r="N53" i="11"/>
  <c r="O53" i="11"/>
  <c r="P53" i="11"/>
  <c r="Q53" i="11"/>
  <c r="R53" i="11"/>
  <c r="S53" i="11"/>
  <c r="T53" i="11"/>
  <c r="U53" i="11"/>
  <c r="V53" i="11"/>
  <c r="W53" i="11"/>
  <c r="X53" i="11"/>
  <c r="Y53" i="11"/>
  <c r="Z53" i="11"/>
  <c r="AA53" i="11"/>
  <c r="AB53" i="11"/>
  <c r="AC53" i="11"/>
  <c r="AD53" i="11"/>
  <c r="AE53" i="11"/>
  <c r="AF53" i="11"/>
  <c r="AG53" i="11"/>
  <c r="AH53" i="11"/>
  <c r="AI53" i="11"/>
  <c r="AJ53" i="11"/>
  <c r="AK53" i="11"/>
  <c r="AL53" i="11"/>
  <c r="AM53" i="11"/>
  <c r="AN53" i="11"/>
  <c r="AO53" i="11"/>
  <c r="AP53" i="11"/>
  <c r="AQ53" i="11"/>
  <c r="D54" i="11"/>
  <c r="E54" i="11"/>
  <c r="F54" i="11"/>
  <c r="G54" i="11"/>
  <c r="H54" i="11"/>
  <c r="I54" i="11"/>
  <c r="J54" i="11"/>
  <c r="K54" i="11"/>
  <c r="L54" i="11"/>
  <c r="M54" i="11"/>
  <c r="N54" i="11"/>
  <c r="O54" i="11"/>
  <c r="P54" i="11"/>
  <c r="Q54" i="11"/>
  <c r="R54" i="11"/>
  <c r="S54" i="11"/>
  <c r="T54" i="11"/>
  <c r="U54" i="11"/>
  <c r="V54" i="11"/>
  <c r="W54" i="11"/>
  <c r="X54" i="11"/>
  <c r="Y54" i="11"/>
  <c r="Z54" i="11"/>
  <c r="AA54" i="11"/>
  <c r="AB54" i="11"/>
  <c r="AC54" i="11"/>
  <c r="AD54" i="11"/>
  <c r="AE54" i="11"/>
  <c r="AF54" i="11"/>
  <c r="AG54" i="11"/>
  <c r="AH54" i="11"/>
  <c r="AI54" i="11"/>
  <c r="AJ54" i="11"/>
  <c r="AK54" i="11"/>
  <c r="AL54" i="11"/>
  <c r="AM54" i="11"/>
  <c r="AN54" i="11"/>
  <c r="AO54" i="11"/>
  <c r="AP54" i="11"/>
  <c r="AQ54" i="11"/>
  <c r="D55" i="11"/>
  <c r="E55" i="11"/>
  <c r="F55" i="11"/>
  <c r="G55" i="11"/>
  <c r="H55" i="11"/>
  <c r="I55" i="11"/>
  <c r="J55" i="11"/>
  <c r="K55" i="11"/>
  <c r="L55" i="11"/>
  <c r="M55" i="11"/>
  <c r="N55" i="11"/>
  <c r="O55" i="11"/>
  <c r="P55" i="11"/>
  <c r="Q55" i="11"/>
  <c r="R55" i="11"/>
  <c r="S55" i="11"/>
  <c r="T55" i="11"/>
  <c r="U55" i="11"/>
  <c r="V55" i="11"/>
  <c r="W55" i="11"/>
  <c r="X55" i="11"/>
  <c r="Y55" i="11"/>
  <c r="Z55" i="11"/>
  <c r="AA55" i="11"/>
  <c r="AB55" i="11"/>
  <c r="AC55" i="11"/>
  <c r="AD55" i="11"/>
  <c r="AE55" i="11"/>
  <c r="AF55" i="11"/>
  <c r="AG55" i="11"/>
  <c r="AH55" i="11"/>
  <c r="AI55" i="11"/>
  <c r="AJ55" i="11"/>
  <c r="AK55" i="11"/>
  <c r="AL55" i="11"/>
  <c r="AM55" i="11"/>
  <c r="AN55" i="11"/>
  <c r="AO55" i="11"/>
  <c r="AP55" i="11"/>
  <c r="AQ55" i="11"/>
  <c r="J114" i="9"/>
  <c r="J116" i="9" s="1"/>
  <c r="I114" i="9"/>
  <c r="I116" i="9" s="1"/>
  <c r="H114" i="9"/>
  <c r="H116" i="9" s="1"/>
  <c r="G114" i="9"/>
  <c r="G116" i="9" s="1"/>
  <c r="J111" i="9"/>
  <c r="I111" i="9"/>
  <c r="H111" i="9"/>
  <c r="G111" i="9"/>
  <c r="J106" i="9"/>
  <c r="I106" i="9"/>
  <c r="H106" i="9"/>
  <c r="J101" i="9"/>
  <c r="J97" i="9" s="1"/>
  <c r="I101" i="9"/>
  <c r="I97" i="9" s="1"/>
  <c r="H101" i="9"/>
  <c r="H97" i="9" s="1"/>
  <c r="G101" i="9"/>
  <c r="G97" i="9" s="1"/>
  <c r="J80" i="9"/>
  <c r="I80" i="9"/>
  <c r="H80" i="9"/>
  <c r="G80" i="9"/>
  <c r="J76" i="9"/>
  <c r="I76" i="9"/>
  <c r="H76" i="9"/>
  <c r="G76" i="9"/>
  <c r="J66" i="9"/>
  <c r="J65" i="9"/>
  <c r="I65" i="9"/>
  <c r="H65" i="9"/>
  <c r="G65" i="9"/>
  <c r="J48" i="9"/>
  <c r="I48" i="9"/>
  <c r="H48" i="9"/>
  <c r="G48" i="9"/>
  <c r="J38" i="9"/>
  <c r="I38" i="9"/>
  <c r="H38" i="9"/>
  <c r="G38" i="9"/>
  <c r="J32" i="9"/>
  <c r="J35" i="9" s="1"/>
  <c r="G32" i="9"/>
  <c r="G35" i="9" s="1"/>
  <c r="J30" i="9"/>
  <c r="J33" i="9" s="1"/>
  <c r="G30" i="9"/>
  <c r="J25" i="9"/>
  <c r="J12" i="9" s="1"/>
  <c r="I30" i="9" s="1"/>
  <c r="E114" i="9"/>
  <c r="E116" i="9" s="1"/>
  <c r="E111" i="9"/>
  <c r="E106" i="9"/>
  <c r="E80" i="9"/>
  <c r="E76" i="9"/>
  <c r="E66" i="9"/>
  <c r="E64" i="9" s="1"/>
  <c r="E65" i="9"/>
  <c r="E48" i="9"/>
  <c r="E38" i="9"/>
  <c r="E32" i="9"/>
  <c r="E30" i="9"/>
  <c r="E33" i="9" s="1"/>
  <c r="E25" i="9"/>
  <c r="E12" i="9" s="1"/>
  <c r="E11" i="9" s="1"/>
  <c r="I32" i="9" l="1"/>
  <c r="I35" i="9" s="1"/>
  <c r="J64" i="9"/>
  <c r="J11" i="9"/>
  <c r="J148" i="9"/>
  <c r="G33" i="9"/>
  <c r="G31" i="9" s="1"/>
  <c r="J36" i="9"/>
  <c r="J34" i="9" s="1"/>
  <c r="I33" i="9"/>
  <c r="I36" i="9" s="1"/>
  <c r="I34" i="9" s="1"/>
  <c r="J31" i="9"/>
  <c r="E31" i="9"/>
  <c r="E35" i="9"/>
  <c r="E36" i="9"/>
  <c r="E148" i="9"/>
  <c r="J136" i="9" l="1"/>
  <c r="J137" i="9" s="1"/>
  <c r="J138" i="9" s="1"/>
  <c r="J139" i="9" s="1"/>
  <c r="J140" i="9" s="1"/>
  <c r="J150" i="9"/>
  <c r="E136" i="9"/>
  <c r="E150" i="9"/>
  <c r="G36" i="9"/>
  <c r="G34" i="9" s="1"/>
  <c r="I66" i="9"/>
  <c r="I64" i="9" s="1"/>
  <c r="I25" i="9"/>
  <c r="I12" i="9" s="1"/>
  <c r="J72" i="9"/>
  <c r="J69" i="9" s="1"/>
  <c r="J120" i="9" s="1"/>
  <c r="C144" i="11" s="1"/>
  <c r="I31" i="9"/>
  <c r="E34" i="9"/>
  <c r="E72" i="9"/>
  <c r="E137" i="9"/>
  <c r="H30" i="9" l="1"/>
  <c r="H32" i="9"/>
  <c r="H35" i="9" s="1"/>
  <c r="J71" i="9"/>
  <c r="J68" i="9" s="1"/>
  <c r="AN144" i="11"/>
  <c r="AF144" i="11"/>
  <c r="X144" i="11"/>
  <c r="P144" i="11"/>
  <c r="H144" i="11"/>
  <c r="AM144" i="11"/>
  <c r="AE144" i="11"/>
  <c r="W144" i="11"/>
  <c r="O144" i="11"/>
  <c r="G144" i="11"/>
  <c r="AL144" i="11"/>
  <c r="AD144" i="11"/>
  <c r="V144" i="11"/>
  <c r="N144" i="11"/>
  <c r="F144" i="11"/>
  <c r="AK144" i="11"/>
  <c r="AC144" i="11"/>
  <c r="U144" i="11"/>
  <c r="M144" i="11"/>
  <c r="E144" i="11"/>
  <c r="AJ144" i="11"/>
  <c r="AB144" i="11"/>
  <c r="T144" i="11"/>
  <c r="L144" i="11"/>
  <c r="D144" i="11"/>
  <c r="AQ144" i="11"/>
  <c r="AI144" i="11"/>
  <c r="AA144" i="11"/>
  <c r="S144" i="11"/>
  <c r="K144" i="11"/>
  <c r="AP144" i="11"/>
  <c r="J144" i="11"/>
  <c r="AO144" i="11"/>
  <c r="I144" i="11"/>
  <c r="R144" i="11"/>
  <c r="Q144" i="11"/>
  <c r="AH144" i="11"/>
  <c r="AG144" i="11"/>
  <c r="Z144" i="11"/>
  <c r="Y144" i="11"/>
  <c r="J124" i="9"/>
  <c r="C148" i="11" s="1"/>
  <c r="J125" i="9"/>
  <c r="C149" i="11" s="1"/>
  <c r="I11" i="9"/>
  <c r="I148" i="9"/>
  <c r="I150" i="9" s="1"/>
  <c r="J121" i="9"/>
  <c r="C145" i="11" s="1"/>
  <c r="J123" i="9"/>
  <c r="C147" i="11" s="1"/>
  <c r="E69" i="9"/>
  <c r="E138" i="9"/>
  <c r="E71" i="9"/>
  <c r="E68" i="9" s="1"/>
  <c r="H33" i="9" l="1"/>
  <c r="H31" i="9" s="1"/>
  <c r="O145" i="11"/>
  <c r="AE145" i="11"/>
  <c r="T145" i="11"/>
  <c r="AO145" i="11"/>
  <c r="W145" i="11"/>
  <c r="AF145" i="11"/>
  <c r="J145" i="11"/>
  <c r="AG145" i="11"/>
  <c r="K145" i="11"/>
  <c r="AM145" i="11"/>
  <c r="L145" i="11"/>
  <c r="AN145" i="11"/>
  <c r="U145" i="11"/>
  <c r="R145" i="11"/>
  <c r="AA145" i="11"/>
  <c r="F145" i="11"/>
  <c r="H145" i="11"/>
  <c r="M145" i="11"/>
  <c r="AJ145" i="11"/>
  <c r="G145" i="11"/>
  <c r="Q145" i="11"/>
  <c r="N145" i="11"/>
  <c r="AH145" i="11"/>
  <c r="AB145" i="11"/>
  <c r="E145" i="11"/>
  <c r="AQ145" i="11"/>
  <c r="V145" i="11"/>
  <c r="AC145" i="11"/>
  <c r="AL145" i="11"/>
  <c r="AI145" i="11"/>
  <c r="AD145" i="11"/>
  <c r="AP145" i="11"/>
  <c r="Z145" i="11"/>
  <c r="S145" i="11"/>
  <c r="P145" i="11"/>
  <c r="Y145" i="11"/>
  <c r="I145" i="11"/>
  <c r="AK145" i="11"/>
  <c r="X145" i="11"/>
  <c r="D145" i="11"/>
  <c r="AN147" i="11"/>
  <c r="AF147" i="11"/>
  <c r="X147" i="11"/>
  <c r="P147" i="11"/>
  <c r="H147" i="11"/>
  <c r="AM147" i="11"/>
  <c r="AE147" i="11"/>
  <c r="W147" i="11"/>
  <c r="O147" i="11"/>
  <c r="G147" i="11"/>
  <c r="AL147" i="11"/>
  <c r="AD147" i="11"/>
  <c r="V147" i="11"/>
  <c r="N147" i="11"/>
  <c r="F147" i="11"/>
  <c r="AK147" i="11"/>
  <c r="AC147" i="11"/>
  <c r="U147" i="11"/>
  <c r="M147" i="11"/>
  <c r="E147" i="11"/>
  <c r="AJ147" i="11"/>
  <c r="AB147" i="11"/>
  <c r="T147" i="11"/>
  <c r="L147" i="11"/>
  <c r="D147" i="11"/>
  <c r="AQ147" i="11"/>
  <c r="AI147" i="11"/>
  <c r="AA147" i="11"/>
  <c r="S147" i="11"/>
  <c r="K147" i="11"/>
  <c r="Z147" i="11"/>
  <c r="AH147" i="11"/>
  <c r="Y147" i="11"/>
  <c r="R147" i="11"/>
  <c r="Q147" i="11"/>
  <c r="AG147" i="11"/>
  <c r="AP147" i="11"/>
  <c r="J147" i="11"/>
  <c r="AO147" i="11"/>
  <c r="I147" i="11"/>
  <c r="AN149" i="11"/>
  <c r="AF149" i="11"/>
  <c r="X149" i="11"/>
  <c r="P149" i="11"/>
  <c r="H149" i="11"/>
  <c r="AM149" i="11"/>
  <c r="AE149" i="11"/>
  <c r="W149" i="11"/>
  <c r="O149" i="11"/>
  <c r="G149" i="11"/>
  <c r="AL149" i="11"/>
  <c r="AD149" i="11"/>
  <c r="V149" i="11"/>
  <c r="N149" i="11"/>
  <c r="F149" i="11"/>
  <c r="AK149" i="11"/>
  <c r="AC149" i="11"/>
  <c r="U149" i="11"/>
  <c r="M149" i="11"/>
  <c r="E149" i="11"/>
  <c r="AJ149" i="11"/>
  <c r="AB149" i="11"/>
  <c r="T149" i="11"/>
  <c r="L149" i="11"/>
  <c r="D149" i="11"/>
  <c r="AQ149" i="11"/>
  <c r="AI149" i="11"/>
  <c r="AA149" i="11"/>
  <c r="S149" i="11"/>
  <c r="K149" i="11"/>
  <c r="AP149" i="11"/>
  <c r="AH149" i="11"/>
  <c r="Z149" i="11"/>
  <c r="R149" i="11"/>
  <c r="J149" i="11"/>
  <c r="AG149" i="11"/>
  <c r="Y149" i="11"/>
  <c r="Q149" i="11"/>
  <c r="I149" i="11"/>
  <c r="AO149" i="11"/>
  <c r="AN148" i="11"/>
  <c r="AF148" i="11"/>
  <c r="X148" i="11"/>
  <c r="AM148" i="11"/>
  <c r="AE148" i="11"/>
  <c r="AL148" i="11"/>
  <c r="AD148" i="11"/>
  <c r="V148" i="11"/>
  <c r="AK148" i="11"/>
  <c r="AC148" i="11"/>
  <c r="AJ148" i="11"/>
  <c r="AB148" i="11"/>
  <c r="T148" i="11"/>
  <c r="L148" i="11"/>
  <c r="AQ148" i="11"/>
  <c r="AI148" i="11"/>
  <c r="AA148" i="11"/>
  <c r="S148" i="11"/>
  <c r="AP148" i="11"/>
  <c r="AH148" i="11"/>
  <c r="Z148" i="11"/>
  <c r="R148" i="11"/>
  <c r="J148" i="11"/>
  <c r="U148" i="11"/>
  <c r="H148" i="11"/>
  <c r="Q148" i="11"/>
  <c r="G148" i="11"/>
  <c r="P148" i="11"/>
  <c r="F148" i="11"/>
  <c r="O148" i="11"/>
  <c r="E148" i="11"/>
  <c r="AO148" i="11"/>
  <c r="N148" i="11"/>
  <c r="D148" i="11"/>
  <c r="AG148" i="11"/>
  <c r="M148" i="11"/>
  <c r="Y148" i="11"/>
  <c r="W148" i="11"/>
  <c r="K148" i="11"/>
  <c r="I148" i="11"/>
  <c r="J44" i="9"/>
  <c r="J43" i="9" s="1"/>
  <c r="J49" i="9" s="1"/>
  <c r="J126" i="9"/>
  <c r="C150" i="11" s="1"/>
  <c r="J128" i="9"/>
  <c r="C152" i="11" s="1"/>
  <c r="H66" i="9"/>
  <c r="H64" i="9" s="1"/>
  <c r="H25" i="9"/>
  <c r="H12" i="9" s="1"/>
  <c r="I136" i="9"/>
  <c r="I137" i="9" s="1"/>
  <c r="I72" i="9"/>
  <c r="I69" i="9" s="1"/>
  <c r="E139" i="9"/>
  <c r="H36" i="9" l="1"/>
  <c r="H34" i="9" s="1"/>
  <c r="J42" i="9"/>
  <c r="J41" i="9" s="1"/>
  <c r="J47" i="9" s="1"/>
  <c r="J46" i="9" s="1"/>
  <c r="AM152" i="11"/>
  <c r="AE152" i="11"/>
  <c r="W152" i="11"/>
  <c r="O152" i="11"/>
  <c r="G152" i="11"/>
  <c r="AL152" i="11"/>
  <c r="AD152" i="11"/>
  <c r="V152" i="11"/>
  <c r="N152" i="11"/>
  <c r="F152" i="11"/>
  <c r="AK152" i="11"/>
  <c r="AC152" i="11"/>
  <c r="U152" i="11"/>
  <c r="M152" i="11"/>
  <c r="E152" i="11"/>
  <c r="AJ152" i="11"/>
  <c r="AB152" i="11"/>
  <c r="T152" i="11"/>
  <c r="L152" i="11"/>
  <c r="D152" i="11"/>
  <c r="AQ152" i="11"/>
  <c r="AI152" i="11"/>
  <c r="AA152" i="11"/>
  <c r="S152" i="11"/>
  <c r="K152" i="11"/>
  <c r="AP152" i="11"/>
  <c r="AH152" i="11"/>
  <c r="Z152" i="11"/>
  <c r="R152" i="11"/>
  <c r="J152" i="11"/>
  <c r="AO152" i="11"/>
  <c r="AG152" i="11"/>
  <c r="Y152" i="11"/>
  <c r="Q152" i="11"/>
  <c r="I152" i="11"/>
  <c r="H152" i="11"/>
  <c r="AN152" i="11"/>
  <c r="AF152" i="11"/>
  <c r="X152" i="11"/>
  <c r="P152" i="11"/>
  <c r="AM150" i="11"/>
  <c r="AE150" i="11"/>
  <c r="W150" i="11"/>
  <c r="O150" i="11"/>
  <c r="G150" i="11"/>
  <c r="AL150" i="11"/>
  <c r="AD150" i="11"/>
  <c r="V150" i="11"/>
  <c r="N150" i="11"/>
  <c r="F150" i="11"/>
  <c r="AK150" i="11"/>
  <c r="AC150" i="11"/>
  <c r="U150" i="11"/>
  <c r="M150" i="11"/>
  <c r="E150" i="11"/>
  <c r="AJ150" i="11"/>
  <c r="AB150" i="11"/>
  <c r="T150" i="11"/>
  <c r="L150" i="11"/>
  <c r="D150" i="11"/>
  <c r="AQ150" i="11"/>
  <c r="AI150" i="11"/>
  <c r="AA150" i="11"/>
  <c r="S150" i="11"/>
  <c r="K150" i="11"/>
  <c r="AP150" i="11"/>
  <c r="AH150" i="11"/>
  <c r="Z150" i="11"/>
  <c r="R150" i="11"/>
  <c r="J150" i="11"/>
  <c r="AO150" i="11"/>
  <c r="AG150" i="11"/>
  <c r="Y150" i="11"/>
  <c r="Q150" i="11"/>
  <c r="I150" i="11"/>
  <c r="AN150" i="11"/>
  <c r="AF150" i="11"/>
  <c r="X150" i="11"/>
  <c r="P150" i="11"/>
  <c r="H150" i="11"/>
  <c r="I125" i="9"/>
  <c r="C131" i="11" s="1"/>
  <c r="I124" i="9"/>
  <c r="C130" i="11" s="1"/>
  <c r="I120" i="9"/>
  <c r="I71" i="9"/>
  <c r="I68" i="9" s="1"/>
  <c r="I138" i="9"/>
  <c r="I139" i="9" s="1"/>
  <c r="I140" i="9" s="1"/>
  <c r="H11" i="9"/>
  <c r="H148" i="9"/>
  <c r="H150" i="9" s="1"/>
  <c r="J50" i="9"/>
  <c r="J51" i="9" s="1"/>
  <c r="E140" i="9"/>
  <c r="J40" i="9" l="1"/>
  <c r="J129" i="9"/>
  <c r="AN130" i="11"/>
  <c r="AF130" i="11"/>
  <c r="X130" i="11"/>
  <c r="P130" i="11"/>
  <c r="H130" i="11"/>
  <c r="AM130" i="11"/>
  <c r="AE130" i="11"/>
  <c r="W130" i="11"/>
  <c r="O130" i="11"/>
  <c r="G130" i="11"/>
  <c r="AL130" i="11"/>
  <c r="AD130" i="11"/>
  <c r="V130" i="11"/>
  <c r="N130" i="11"/>
  <c r="F130" i="11"/>
  <c r="AK130" i="11"/>
  <c r="AC130" i="11"/>
  <c r="U130" i="11"/>
  <c r="M130" i="11"/>
  <c r="E130" i="11"/>
  <c r="AJ130" i="11"/>
  <c r="AB130" i="11"/>
  <c r="T130" i="11"/>
  <c r="L130" i="11"/>
  <c r="D130" i="11"/>
  <c r="AQ130" i="11"/>
  <c r="AI130" i="11"/>
  <c r="AA130" i="11"/>
  <c r="S130" i="11"/>
  <c r="K130" i="11"/>
  <c r="AP130" i="11"/>
  <c r="AH130" i="11"/>
  <c r="Z130" i="11"/>
  <c r="R130" i="11"/>
  <c r="J130" i="11"/>
  <c r="AO130" i="11"/>
  <c r="AG130" i="11"/>
  <c r="Y130" i="11"/>
  <c r="Q130" i="11"/>
  <c r="I130" i="11"/>
  <c r="AN131" i="11"/>
  <c r="AF131" i="11"/>
  <c r="X131" i="11"/>
  <c r="P131" i="11"/>
  <c r="H131" i="11"/>
  <c r="AM131" i="11"/>
  <c r="AE131" i="11"/>
  <c r="W131" i="11"/>
  <c r="O131" i="11"/>
  <c r="G131" i="11"/>
  <c r="AL131" i="11"/>
  <c r="AD131" i="11"/>
  <c r="V131" i="11"/>
  <c r="N131" i="11"/>
  <c r="F131" i="11"/>
  <c r="AK131" i="11"/>
  <c r="AC131" i="11"/>
  <c r="U131" i="11"/>
  <c r="M131" i="11"/>
  <c r="E131" i="11"/>
  <c r="AJ131" i="11"/>
  <c r="AB131" i="11"/>
  <c r="T131" i="11"/>
  <c r="L131" i="11"/>
  <c r="D131" i="11"/>
  <c r="AQ131" i="11"/>
  <c r="AI131" i="11"/>
  <c r="AA131" i="11"/>
  <c r="S131" i="11"/>
  <c r="K131" i="11"/>
  <c r="AP131" i="11"/>
  <c r="AH131" i="11"/>
  <c r="Z131" i="11"/>
  <c r="R131" i="11"/>
  <c r="J131" i="11"/>
  <c r="Y131" i="11"/>
  <c r="Q131" i="11"/>
  <c r="I131" i="11"/>
  <c r="AO131" i="11"/>
  <c r="AG131" i="11"/>
  <c r="I44" i="9"/>
  <c r="I42" i="9" s="1"/>
  <c r="I41" i="9" s="1"/>
  <c r="I129" i="9" s="1"/>
  <c r="I128" i="9"/>
  <c r="C134" i="11" s="1"/>
  <c r="I126" i="9"/>
  <c r="C132" i="11" s="1"/>
  <c r="H136" i="9"/>
  <c r="H137" i="9" s="1"/>
  <c r="H72" i="9"/>
  <c r="H69" i="9" s="1"/>
  <c r="C126" i="11"/>
  <c r="I123" i="9"/>
  <c r="C129" i="11" s="1"/>
  <c r="D129" i="11" s="1"/>
  <c r="I121" i="9"/>
  <c r="C127" i="11" s="1"/>
  <c r="G66" i="9"/>
  <c r="G64" i="9" s="1"/>
  <c r="G25" i="9"/>
  <c r="G12" i="9" s="1"/>
  <c r="J53" i="9"/>
  <c r="J54" i="9"/>
  <c r="J144" i="9" s="1"/>
  <c r="K127" i="11" l="1"/>
  <c r="Y127" i="11"/>
  <c r="AF127" i="11"/>
  <c r="P127" i="11"/>
  <c r="AH127" i="11"/>
  <c r="Q127" i="11"/>
  <c r="AN127" i="11"/>
  <c r="R127" i="11"/>
  <c r="AO127" i="11"/>
  <c r="X127" i="11"/>
  <c r="H127" i="11"/>
  <c r="Z127" i="11"/>
  <c r="I127" i="11"/>
  <c r="J127" i="11"/>
  <c r="AG127" i="11"/>
  <c r="AP127" i="11"/>
  <c r="W127" i="11"/>
  <c r="T127" i="11"/>
  <c r="AI127" i="11"/>
  <c r="N127" i="11"/>
  <c r="AE127" i="11"/>
  <c r="O127" i="11"/>
  <c r="AL127" i="11"/>
  <c r="L127" i="11"/>
  <c r="AA127" i="11"/>
  <c r="U127" i="11"/>
  <c r="G127" i="11"/>
  <c r="AD127" i="11"/>
  <c r="AK127" i="11"/>
  <c r="S127" i="11"/>
  <c r="V127" i="11"/>
  <c r="AC127" i="11"/>
  <c r="AB127" i="11"/>
  <c r="AQ127" i="11"/>
  <c r="F127" i="11"/>
  <c r="M127" i="11"/>
  <c r="D127" i="11"/>
  <c r="AM127" i="11"/>
  <c r="E127" i="11"/>
  <c r="AJ127" i="11"/>
  <c r="AN129" i="11"/>
  <c r="AF129" i="11"/>
  <c r="X129" i="11"/>
  <c r="P129" i="11"/>
  <c r="H129" i="11"/>
  <c r="AM129" i="11"/>
  <c r="AE129" i="11"/>
  <c r="W129" i="11"/>
  <c r="O129" i="11"/>
  <c r="G129" i="11"/>
  <c r="AL129" i="11"/>
  <c r="AD129" i="11"/>
  <c r="V129" i="11"/>
  <c r="N129" i="11"/>
  <c r="F129" i="11"/>
  <c r="AK129" i="11"/>
  <c r="AC129" i="11"/>
  <c r="U129" i="11"/>
  <c r="M129" i="11"/>
  <c r="E129" i="11"/>
  <c r="AJ129" i="11"/>
  <c r="AB129" i="11"/>
  <c r="T129" i="11"/>
  <c r="L129" i="11"/>
  <c r="AQ129" i="11"/>
  <c r="AI129" i="11"/>
  <c r="AA129" i="11"/>
  <c r="S129" i="11"/>
  <c r="K129" i="11"/>
  <c r="AP129" i="11"/>
  <c r="AH129" i="11"/>
  <c r="Z129" i="11"/>
  <c r="R129" i="11"/>
  <c r="J129" i="11"/>
  <c r="AO129" i="11"/>
  <c r="AG129" i="11"/>
  <c r="Y129" i="11"/>
  <c r="Q129" i="11"/>
  <c r="I129" i="11"/>
  <c r="AN126" i="11"/>
  <c r="AF126" i="11"/>
  <c r="X126" i="11"/>
  <c r="P126" i="11"/>
  <c r="H126" i="11"/>
  <c r="AM126" i="11"/>
  <c r="AE126" i="11"/>
  <c r="W126" i="11"/>
  <c r="O126" i="11"/>
  <c r="G126" i="11"/>
  <c r="AL126" i="11"/>
  <c r="AD126" i="11"/>
  <c r="V126" i="11"/>
  <c r="N126" i="11"/>
  <c r="F126" i="11"/>
  <c r="AK126" i="11"/>
  <c r="AC126" i="11"/>
  <c r="U126" i="11"/>
  <c r="M126" i="11"/>
  <c r="E126" i="11"/>
  <c r="AJ126" i="11"/>
  <c r="AB126" i="11"/>
  <c r="T126" i="11"/>
  <c r="L126" i="11"/>
  <c r="D126" i="11"/>
  <c r="AQ126" i="11"/>
  <c r="AI126" i="11"/>
  <c r="AA126" i="11"/>
  <c r="S126" i="11"/>
  <c r="K126" i="11"/>
  <c r="AP126" i="11"/>
  <c r="AH126" i="11"/>
  <c r="Z126" i="11"/>
  <c r="R126" i="11"/>
  <c r="J126" i="11"/>
  <c r="AO126" i="11"/>
  <c r="AG126" i="11"/>
  <c r="Y126" i="11"/>
  <c r="Q126" i="11"/>
  <c r="I126" i="11"/>
  <c r="AM132" i="11"/>
  <c r="AE132" i="11"/>
  <c r="W132" i="11"/>
  <c r="O132" i="11"/>
  <c r="G132" i="11"/>
  <c r="AL132" i="11"/>
  <c r="AD132" i="11"/>
  <c r="V132" i="11"/>
  <c r="N132" i="11"/>
  <c r="F132" i="11"/>
  <c r="AK132" i="11"/>
  <c r="AC132" i="11"/>
  <c r="U132" i="11"/>
  <c r="M132" i="11"/>
  <c r="E132" i="11"/>
  <c r="AJ132" i="11"/>
  <c r="AB132" i="11"/>
  <c r="T132" i="11"/>
  <c r="L132" i="11"/>
  <c r="D132" i="11"/>
  <c r="AQ132" i="11"/>
  <c r="AI132" i="11"/>
  <c r="AA132" i="11"/>
  <c r="S132" i="11"/>
  <c r="K132" i="11"/>
  <c r="AP132" i="11"/>
  <c r="AH132" i="11"/>
  <c r="Z132" i="11"/>
  <c r="R132" i="11"/>
  <c r="J132" i="11"/>
  <c r="AO132" i="11"/>
  <c r="AG132" i="11"/>
  <c r="Y132" i="11"/>
  <c r="Q132" i="11"/>
  <c r="I132" i="11"/>
  <c r="AN132" i="11"/>
  <c r="AF132" i="11"/>
  <c r="X132" i="11"/>
  <c r="P132" i="11"/>
  <c r="H132" i="11"/>
  <c r="AM134" i="11"/>
  <c r="AE134" i="11"/>
  <c r="W134" i="11"/>
  <c r="O134" i="11"/>
  <c r="G134" i="11"/>
  <c r="AL134" i="11"/>
  <c r="AD134" i="11"/>
  <c r="V134" i="11"/>
  <c r="N134" i="11"/>
  <c r="F134" i="11"/>
  <c r="AK134" i="11"/>
  <c r="AC134" i="11"/>
  <c r="U134" i="11"/>
  <c r="M134" i="11"/>
  <c r="E134" i="11"/>
  <c r="AJ134" i="11"/>
  <c r="AB134" i="11"/>
  <c r="T134" i="11"/>
  <c r="L134" i="11"/>
  <c r="D134" i="11"/>
  <c r="AQ134" i="11"/>
  <c r="AI134" i="11"/>
  <c r="AA134" i="11"/>
  <c r="S134" i="11"/>
  <c r="K134" i="11"/>
  <c r="AP134" i="11"/>
  <c r="AH134" i="11"/>
  <c r="Z134" i="11"/>
  <c r="R134" i="11"/>
  <c r="J134" i="11"/>
  <c r="AO134" i="11"/>
  <c r="AG134" i="11"/>
  <c r="Y134" i="11"/>
  <c r="Q134" i="11"/>
  <c r="I134" i="11"/>
  <c r="H134" i="11"/>
  <c r="AN134" i="11"/>
  <c r="AF134" i="11"/>
  <c r="P134" i="11"/>
  <c r="X134" i="11"/>
  <c r="I43" i="9"/>
  <c r="I49" i="9" s="1"/>
  <c r="I50" i="9" s="1"/>
  <c r="I54" i="9" s="1"/>
  <c r="I144" i="9" s="1"/>
  <c r="I47" i="9"/>
  <c r="H125" i="9"/>
  <c r="C113" i="11" s="1"/>
  <c r="H124" i="9"/>
  <c r="C112" i="11" s="1"/>
  <c r="H120" i="9"/>
  <c r="G11" i="9"/>
  <c r="G148" i="9"/>
  <c r="G150" i="9" s="1"/>
  <c r="H138" i="9"/>
  <c r="H139" i="9" s="1"/>
  <c r="H140" i="9" s="1"/>
  <c r="H71" i="9"/>
  <c r="H68" i="9" s="1"/>
  <c r="J57" i="9"/>
  <c r="J131" i="9" s="1"/>
  <c r="J133" i="9" s="1"/>
  <c r="J52" i="9"/>
  <c r="J143" i="9"/>
  <c r="J151" i="9" s="1"/>
  <c r="J56" i="9"/>
  <c r="J130" i="9" s="1"/>
  <c r="J132" i="9" s="1"/>
  <c r="C153" i="11" s="1"/>
  <c r="C57" i="11"/>
  <c r="C154" i="11" l="1"/>
  <c r="I40" i="9"/>
  <c r="AM153" i="11"/>
  <c r="AE153" i="11"/>
  <c r="W153" i="11"/>
  <c r="O153" i="11"/>
  <c r="G153" i="11"/>
  <c r="AL153" i="11"/>
  <c r="AD153" i="11"/>
  <c r="V153" i="11"/>
  <c r="N153" i="11"/>
  <c r="F153" i="11"/>
  <c r="AK153" i="11"/>
  <c r="AC153" i="11"/>
  <c r="U153" i="11"/>
  <c r="M153" i="11"/>
  <c r="E153" i="11"/>
  <c r="AJ153" i="11"/>
  <c r="AB153" i="11"/>
  <c r="T153" i="11"/>
  <c r="L153" i="11"/>
  <c r="D153" i="11"/>
  <c r="AQ153" i="11"/>
  <c r="AI153" i="11"/>
  <c r="AA153" i="11"/>
  <c r="S153" i="11"/>
  <c r="K153" i="11"/>
  <c r="AP153" i="11"/>
  <c r="AH153" i="11"/>
  <c r="Z153" i="11"/>
  <c r="R153" i="11"/>
  <c r="J153" i="11"/>
  <c r="AO153" i="11"/>
  <c r="AG153" i="11"/>
  <c r="Y153" i="11"/>
  <c r="Q153" i="11"/>
  <c r="I153" i="11"/>
  <c r="AN153" i="11"/>
  <c r="AF153" i="11"/>
  <c r="X153" i="11"/>
  <c r="P153" i="11"/>
  <c r="H153" i="11"/>
  <c r="AM112" i="11"/>
  <c r="AE112" i="11"/>
  <c r="W112" i="11"/>
  <c r="O112" i="11"/>
  <c r="G112" i="11"/>
  <c r="AL112" i="11"/>
  <c r="AD112" i="11"/>
  <c r="V112" i="11"/>
  <c r="N112" i="11"/>
  <c r="F112" i="11"/>
  <c r="AK112" i="11"/>
  <c r="AC112" i="11"/>
  <c r="U112" i="11"/>
  <c r="M112" i="11"/>
  <c r="E112" i="11"/>
  <c r="AJ112" i="11"/>
  <c r="AB112" i="11"/>
  <c r="T112" i="11"/>
  <c r="L112" i="11"/>
  <c r="D112" i="11"/>
  <c r="AQ112" i="11"/>
  <c r="AP112" i="11"/>
  <c r="AH112" i="11"/>
  <c r="Z112" i="11"/>
  <c r="R112" i="11"/>
  <c r="J112" i="11"/>
  <c r="AI112" i="11"/>
  <c r="P112" i="11"/>
  <c r="AN112" i="11"/>
  <c r="AG112" i="11"/>
  <c r="K112" i="11"/>
  <c r="AF112" i="11"/>
  <c r="I112" i="11"/>
  <c r="Q112" i="11"/>
  <c r="AA112" i="11"/>
  <c r="H112" i="11"/>
  <c r="Y112" i="11"/>
  <c r="S112" i="11"/>
  <c r="X112" i="11"/>
  <c r="AO112" i="11"/>
  <c r="AM113" i="11"/>
  <c r="AE113" i="11"/>
  <c r="W113" i="11"/>
  <c r="O113" i="11"/>
  <c r="G113" i="11"/>
  <c r="AL113" i="11"/>
  <c r="AD113" i="11"/>
  <c r="V113" i="11"/>
  <c r="N113" i="11"/>
  <c r="F113" i="11"/>
  <c r="AK113" i="11"/>
  <c r="AC113" i="11"/>
  <c r="U113" i="11"/>
  <c r="M113" i="11"/>
  <c r="E113" i="11"/>
  <c r="AJ113" i="11"/>
  <c r="AB113" i="11"/>
  <c r="T113" i="11"/>
  <c r="L113" i="11"/>
  <c r="D113" i="11"/>
  <c r="AQ113" i="11"/>
  <c r="AI113" i="11"/>
  <c r="AA113" i="11"/>
  <c r="S113" i="11"/>
  <c r="K113" i="11"/>
  <c r="AP113" i="11"/>
  <c r="AH113" i="11"/>
  <c r="Z113" i="11"/>
  <c r="R113" i="11"/>
  <c r="J113" i="11"/>
  <c r="Y113" i="11"/>
  <c r="AG113" i="11"/>
  <c r="X113" i="11"/>
  <c r="Q113" i="11"/>
  <c r="P113" i="11"/>
  <c r="AF113" i="11"/>
  <c r="AO113" i="11"/>
  <c r="I113" i="11"/>
  <c r="AN113" i="11"/>
  <c r="H113" i="11"/>
  <c r="I51" i="9"/>
  <c r="I53" i="9" s="1"/>
  <c r="I56" i="9" s="1"/>
  <c r="I57" i="9"/>
  <c r="I131" i="9" s="1"/>
  <c r="I133" i="9" s="1"/>
  <c r="H128" i="9"/>
  <c r="C116" i="11" s="1"/>
  <c r="I46" i="9"/>
  <c r="H126" i="9"/>
  <c r="C114" i="11" s="1"/>
  <c r="H44" i="9"/>
  <c r="C108" i="11"/>
  <c r="H121" i="9"/>
  <c r="C109" i="11" s="1"/>
  <c r="H123" i="9"/>
  <c r="C111" i="11" s="1"/>
  <c r="G136" i="9"/>
  <c r="G137" i="9" s="1"/>
  <c r="G72" i="9"/>
  <c r="G69" i="9" s="1"/>
  <c r="D57" i="11"/>
  <c r="L57" i="11"/>
  <c r="T57" i="11"/>
  <c r="AB57" i="11"/>
  <c r="AJ57" i="11"/>
  <c r="G57" i="11"/>
  <c r="O57" i="11"/>
  <c r="W57" i="11"/>
  <c r="AE57" i="11"/>
  <c r="AM57" i="11"/>
  <c r="H57" i="11"/>
  <c r="P57" i="11"/>
  <c r="X57" i="11"/>
  <c r="AF57" i="11"/>
  <c r="AN57" i="11"/>
  <c r="I57" i="11"/>
  <c r="Q57" i="11"/>
  <c r="Y57" i="11"/>
  <c r="AG57" i="11"/>
  <c r="AO57" i="11"/>
  <c r="J57" i="11"/>
  <c r="R57" i="11"/>
  <c r="Z57" i="11"/>
  <c r="AH57" i="11"/>
  <c r="AP57" i="11"/>
  <c r="K57" i="11"/>
  <c r="S57" i="11"/>
  <c r="AA57" i="11"/>
  <c r="AI57" i="11"/>
  <c r="AQ57" i="11"/>
  <c r="N57" i="11"/>
  <c r="U57" i="11"/>
  <c r="V57" i="11"/>
  <c r="AC57" i="11"/>
  <c r="AD57" i="11"/>
  <c r="E57" i="11"/>
  <c r="AK57" i="11"/>
  <c r="F57" i="11"/>
  <c r="AL57" i="11"/>
  <c r="M57" i="11"/>
  <c r="J55" i="9"/>
  <c r="F30" i="9"/>
  <c r="G154" i="11" l="1"/>
  <c r="D154" i="11"/>
  <c r="Z154" i="11"/>
  <c r="AH154" i="11"/>
  <c r="M154" i="11"/>
  <c r="AI154" i="11"/>
  <c r="X154" i="11"/>
  <c r="AC154" i="11"/>
  <c r="AN154" i="11"/>
  <c r="AL154" i="11"/>
  <c r="J154" i="11"/>
  <c r="O154" i="11"/>
  <c r="L154" i="11"/>
  <c r="AK154" i="11"/>
  <c r="Q154" i="11"/>
  <c r="F154" i="11"/>
  <c r="AE154" i="11"/>
  <c r="Y154" i="11"/>
  <c r="K154" i="11"/>
  <c r="AB154" i="11"/>
  <c r="N154" i="11"/>
  <c r="AM154" i="11"/>
  <c r="C136" i="11"/>
  <c r="O136" i="11" s="1"/>
  <c r="AP154" i="11"/>
  <c r="V154" i="11"/>
  <c r="I154" i="11"/>
  <c r="W154" i="11"/>
  <c r="T154" i="11"/>
  <c r="H154" i="11"/>
  <c r="AG154" i="11"/>
  <c r="S154" i="11"/>
  <c r="AJ154" i="11"/>
  <c r="P154" i="11"/>
  <c r="AO154" i="11"/>
  <c r="AA154" i="11"/>
  <c r="E154" i="11"/>
  <c r="AD154" i="11"/>
  <c r="AF154" i="11"/>
  <c r="R154" i="11"/>
  <c r="AQ154" i="11"/>
  <c r="U154" i="11"/>
  <c r="I109" i="11"/>
  <c r="Q109" i="11"/>
  <c r="AL109" i="11"/>
  <c r="AO109" i="11"/>
  <c r="P109" i="11"/>
  <c r="V109" i="11"/>
  <c r="AN109" i="11"/>
  <c r="N109" i="11"/>
  <c r="S109" i="11"/>
  <c r="M109" i="11"/>
  <c r="AM109" i="11"/>
  <c r="X109" i="11"/>
  <c r="G109" i="11"/>
  <c r="E109" i="11"/>
  <c r="AA109" i="11"/>
  <c r="U109" i="11"/>
  <c r="D109" i="11"/>
  <c r="R109" i="11"/>
  <c r="AF109" i="11"/>
  <c r="AI109" i="11"/>
  <c r="AC109" i="11"/>
  <c r="H109" i="11"/>
  <c r="J109" i="11"/>
  <c r="L109" i="11"/>
  <c r="AK109" i="11"/>
  <c r="AD109" i="11"/>
  <c r="T109" i="11"/>
  <c r="Y109" i="11"/>
  <c r="AG109" i="11"/>
  <c r="K109" i="11"/>
  <c r="AE109" i="11"/>
  <c r="F109" i="11"/>
  <c r="AP109" i="11"/>
  <c r="Z109" i="11"/>
  <c r="AB109" i="11"/>
  <c r="O109" i="11"/>
  <c r="AQ109" i="11"/>
  <c r="AH109" i="11"/>
  <c r="AJ109" i="11"/>
  <c r="W109" i="11"/>
  <c r="AM108" i="11"/>
  <c r="AE108" i="11"/>
  <c r="W108" i="11"/>
  <c r="O108" i="11"/>
  <c r="G108" i="11"/>
  <c r="AL108" i="11"/>
  <c r="AD108" i="11"/>
  <c r="V108" i="11"/>
  <c r="N108" i="11"/>
  <c r="F108" i="11"/>
  <c r="AK108" i="11"/>
  <c r="AC108" i="11"/>
  <c r="U108" i="11"/>
  <c r="M108" i="11"/>
  <c r="E108" i="11"/>
  <c r="AJ108" i="11"/>
  <c r="AB108" i="11"/>
  <c r="T108" i="11"/>
  <c r="L108" i="11"/>
  <c r="AP108" i="11"/>
  <c r="AH108" i="11"/>
  <c r="Z108" i="11"/>
  <c r="R108" i="11"/>
  <c r="J108" i="11"/>
  <c r="AA108" i="11"/>
  <c r="H108" i="11"/>
  <c r="Y108" i="11"/>
  <c r="AQ108" i="11"/>
  <c r="X108" i="11"/>
  <c r="AF108" i="11"/>
  <c r="AO108" i="11"/>
  <c r="S108" i="11"/>
  <c r="D108" i="11"/>
  <c r="I108" i="11"/>
  <c r="AN108" i="11"/>
  <c r="Q108" i="11"/>
  <c r="K108" i="11"/>
  <c r="AI108" i="11"/>
  <c r="P108" i="11"/>
  <c r="AG108" i="11"/>
  <c r="AM116" i="11"/>
  <c r="AE116" i="11"/>
  <c r="W116" i="11"/>
  <c r="O116" i="11"/>
  <c r="G116" i="11"/>
  <c r="AL116" i="11"/>
  <c r="AD116" i="11"/>
  <c r="V116" i="11"/>
  <c r="N116" i="11"/>
  <c r="F116" i="11"/>
  <c r="AK116" i="11"/>
  <c r="AC116" i="11"/>
  <c r="U116" i="11"/>
  <c r="M116" i="11"/>
  <c r="E116" i="11"/>
  <c r="AJ116" i="11"/>
  <c r="AB116" i="11"/>
  <c r="T116" i="11"/>
  <c r="L116" i="11"/>
  <c r="D116" i="11"/>
  <c r="AQ116" i="11"/>
  <c r="AI116" i="11"/>
  <c r="AA116" i="11"/>
  <c r="S116" i="11"/>
  <c r="K116" i="11"/>
  <c r="AP116" i="11"/>
  <c r="AH116" i="11"/>
  <c r="Z116" i="11"/>
  <c r="R116" i="11"/>
  <c r="J116" i="11"/>
  <c r="AO116" i="11"/>
  <c r="I116" i="11"/>
  <c r="AN116" i="11"/>
  <c r="H116" i="11"/>
  <c r="Q116" i="11"/>
  <c r="AG116" i="11"/>
  <c r="AF116" i="11"/>
  <c r="Y116" i="11"/>
  <c r="P116" i="11"/>
  <c r="X116" i="11"/>
  <c r="AM114" i="11"/>
  <c r="AE114" i="11"/>
  <c r="W114" i="11"/>
  <c r="O114" i="11"/>
  <c r="G114" i="11"/>
  <c r="AL114" i="11"/>
  <c r="AD114" i="11"/>
  <c r="V114" i="11"/>
  <c r="N114" i="11"/>
  <c r="F114" i="11"/>
  <c r="AK114" i="11"/>
  <c r="AC114" i="11"/>
  <c r="U114" i="11"/>
  <c r="M114" i="11"/>
  <c r="E114" i="11"/>
  <c r="AJ114" i="11"/>
  <c r="AB114" i="11"/>
  <c r="T114" i="11"/>
  <c r="L114" i="11"/>
  <c r="D114" i="11"/>
  <c r="AQ114" i="11"/>
  <c r="AI114" i="11"/>
  <c r="AA114" i="11"/>
  <c r="S114" i="11"/>
  <c r="K114" i="11"/>
  <c r="AP114" i="11"/>
  <c r="AH114" i="11"/>
  <c r="Z114" i="11"/>
  <c r="R114" i="11"/>
  <c r="J114" i="11"/>
  <c r="Q114" i="11"/>
  <c r="P114" i="11"/>
  <c r="X114" i="11"/>
  <c r="AO114" i="11"/>
  <c r="I114" i="11"/>
  <c r="Y114" i="11"/>
  <c r="AN114" i="11"/>
  <c r="H114" i="11"/>
  <c r="AG114" i="11"/>
  <c r="AF114" i="11"/>
  <c r="AM111" i="11"/>
  <c r="AE111" i="11"/>
  <c r="W111" i="11"/>
  <c r="O111" i="11"/>
  <c r="G111" i="11"/>
  <c r="AL111" i="11"/>
  <c r="AD111" i="11"/>
  <c r="V111" i="11"/>
  <c r="N111" i="11"/>
  <c r="F111" i="11"/>
  <c r="AK111" i="11"/>
  <c r="AC111" i="11"/>
  <c r="U111" i="11"/>
  <c r="M111" i="11"/>
  <c r="E111" i="11"/>
  <c r="AJ111" i="11"/>
  <c r="AB111" i="11"/>
  <c r="T111" i="11"/>
  <c r="L111" i="11"/>
  <c r="D111" i="11"/>
  <c r="AP111" i="11"/>
  <c r="AH111" i="11"/>
  <c r="Z111" i="11"/>
  <c r="R111" i="11"/>
  <c r="J111" i="11"/>
  <c r="AG111" i="11"/>
  <c r="K111" i="11"/>
  <c r="AF111" i="11"/>
  <c r="I111" i="11"/>
  <c r="Q111" i="11"/>
  <c r="AA111" i="11"/>
  <c r="H111" i="11"/>
  <c r="Y111" i="11"/>
  <c r="AN111" i="11"/>
  <c r="AQ111" i="11"/>
  <c r="X111" i="11"/>
  <c r="P111" i="11"/>
  <c r="AO111" i="11"/>
  <c r="S111" i="11"/>
  <c r="AI111" i="11"/>
  <c r="I55" i="9"/>
  <c r="I130" i="9"/>
  <c r="I132" i="9" s="1"/>
  <c r="C135" i="11" s="1"/>
  <c r="I143" i="9"/>
  <c r="I151" i="9" s="1"/>
  <c r="I52" i="9"/>
  <c r="G124" i="9"/>
  <c r="C94" i="11" s="1"/>
  <c r="G125" i="9"/>
  <c r="C95" i="11" s="1"/>
  <c r="G120" i="9"/>
  <c r="G71" i="9"/>
  <c r="G68" i="9" s="1"/>
  <c r="G138" i="9"/>
  <c r="G139" i="9" s="1"/>
  <c r="G140" i="9" s="1"/>
  <c r="H42" i="9"/>
  <c r="H41" i="9" s="1"/>
  <c r="H43" i="9"/>
  <c r="H49" i="9" s="1"/>
  <c r="F23" i="9"/>
  <c r="P136" i="11" l="1"/>
  <c r="Q136" i="11"/>
  <c r="AP136" i="11"/>
  <c r="K136" i="11"/>
  <c r="E136" i="11"/>
  <c r="M136" i="11"/>
  <c r="AK136" i="11"/>
  <c r="Y136" i="11"/>
  <c r="AA136" i="11"/>
  <c r="AI136" i="11"/>
  <c r="AO136" i="11"/>
  <c r="AF136" i="11"/>
  <c r="J136" i="11"/>
  <c r="V136" i="11"/>
  <c r="F136" i="11"/>
  <c r="X136" i="11"/>
  <c r="N136" i="11"/>
  <c r="AN136" i="11"/>
  <c r="R136" i="11"/>
  <c r="T136" i="11"/>
  <c r="AE136" i="11"/>
  <c r="S136" i="11"/>
  <c r="AG136" i="11"/>
  <c r="L136" i="11"/>
  <c r="H136" i="11"/>
  <c r="Z136" i="11"/>
  <c r="AJ136" i="11"/>
  <c r="AM136" i="11"/>
  <c r="I136" i="11"/>
  <c r="AH136" i="11"/>
  <c r="AB136" i="11"/>
  <c r="AD136" i="11"/>
  <c r="AL136" i="11"/>
  <c r="AQ136" i="11"/>
  <c r="U136" i="11"/>
  <c r="G136" i="11"/>
  <c r="D136" i="11"/>
  <c r="AC136" i="11"/>
  <c r="W136" i="11"/>
  <c r="AM135" i="11"/>
  <c r="AE135" i="11"/>
  <c r="W135" i="11"/>
  <c r="O135" i="11"/>
  <c r="G135" i="11"/>
  <c r="AL135" i="11"/>
  <c r="AD135" i="11"/>
  <c r="V135" i="11"/>
  <c r="N135" i="11"/>
  <c r="F135" i="11"/>
  <c r="AK135" i="11"/>
  <c r="AC135" i="11"/>
  <c r="U135" i="11"/>
  <c r="M135" i="11"/>
  <c r="E135" i="11"/>
  <c r="AJ135" i="11"/>
  <c r="AB135" i="11"/>
  <c r="T135" i="11"/>
  <c r="L135" i="11"/>
  <c r="D135" i="11"/>
  <c r="AQ135" i="11"/>
  <c r="AI135" i="11"/>
  <c r="AA135" i="11"/>
  <c r="S135" i="11"/>
  <c r="K135" i="11"/>
  <c r="AP135" i="11"/>
  <c r="AH135" i="11"/>
  <c r="Z135" i="11"/>
  <c r="R135" i="11"/>
  <c r="J135" i="11"/>
  <c r="AO135" i="11"/>
  <c r="AG135" i="11"/>
  <c r="Y135" i="11"/>
  <c r="Q135" i="11"/>
  <c r="I135" i="11"/>
  <c r="AN135" i="11"/>
  <c r="AF135" i="11"/>
  <c r="X135" i="11"/>
  <c r="P135" i="11"/>
  <c r="H135" i="11"/>
  <c r="G128" i="9"/>
  <c r="C98" i="11" s="1"/>
  <c r="G44" i="9"/>
  <c r="G43" i="9" s="1"/>
  <c r="G49" i="9" s="1"/>
  <c r="G126" i="9"/>
  <c r="C96" i="11" s="1"/>
  <c r="C90" i="11"/>
  <c r="D90" i="11" s="1"/>
  <c r="G123" i="9"/>
  <c r="C93" i="11" s="1"/>
  <c r="D93" i="11" s="1"/>
  <c r="G121" i="9"/>
  <c r="C91" i="11" s="1"/>
  <c r="H50" i="9"/>
  <c r="H51" i="9" s="1"/>
  <c r="S95" i="11"/>
  <c r="L95" i="11"/>
  <c r="O95" i="11"/>
  <c r="M95" i="11"/>
  <c r="P95" i="11"/>
  <c r="D95" i="11"/>
  <c r="AA95" i="11"/>
  <c r="AM95" i="11"/>
  <c r="AC95" i="11"/>
  <c r="X95" i="11"/>
  <c r="N95" i="11"/>
  <c r="AB95" i="11"/>
  <c r="J95" i="11"/>
  <c r="AI95" i="11"/>
  <c r="AF95" i="11"/>
  <c r="W95" i="11"/>
  <c r="Y95" i="11"/>
  <c r="AO95" i="11"/>
  <c r="Z95" i="11"/>
  <c r="AH95" i="11"/>
  <c r="AK95" i="11"/>
  <c r="AD95" i="11"/>
  <c r="E95" i="11"/>
  <c r="AP95" i="11"/>
  <c r="V95" i="11"/>
  <c r="G95" i="11"/>
  <c r="U95" i="11"/>
  <c r="K95" i="11"/>
  <c r="AL95" i="11"/>
  <c r="AE95" i="11"/>
  <c r="Q95" i="11"/>
  <c r="R95" i="11"/>
  <c r="AJ95" i="11"/>
  <c r="I95" i="11"/>
  <c r="AQ95" i="11"/>
  <c r="H95" i="11"/>
  <c r="AG95" i="11"/>
  <c r="F95" i="11"/>
  <c r="AN95" i="11"/>
  <c r="T95" i="11"/>
  <c r="H47" i="9"/>
  <c r="H46" i="9" s="1"/>
  <c r="H40" i="9"/>
  <c r="H129" i="9"/>
  <c r="S94" i="11"/>
  <c r="Q94" i="11"/>
  <c r="AJ94" i="11"/>
  <c r="AK94" i="11"/>
  <c r="AL94" i="11"/>
  <c r="AF94" i="11"/>
  <c r="Z94" i="11"/>
  <c r="L94" i="11"/>
  <c r="G94" i="11"/>
  <c r="AN94" i="11"/>
  <c r="AH94" i="11"/>
  <c r="K94" i="11"/>
  <c r="I94" i="11"/>
  <c r="T94" i="11"/>
  <c r="AI94" i="11"/>
  <c r="AG94" i="11"/>
  <c r="P94" i="11"/>
  <c r="X94" i="11"/>
  <c r="Y94" i="11"/>
  <c r="O94" i="11"/>
  <c r="J94" i="11"/>
  <c r="W94" i="11"/>
  <c r="AA94" i="11"/>
  <c r="M94" i="11"/>
  <c r="N94" i="11"/>
  <c r="AM94" i="11"/>
  <c r="F94" i="11"/>
  <c r="AP94" i="11"/>
  <c r="AO94" i="11"/>
  <c r="D94" i="11"/>
  <c r="U94" i="11"/>
  <c r="AB94" i="11"/>
  <c r="V94" i="11"/>
  <c r="E94" i="11"/>
  <c r="AE94" i="11"/>
  <c r="AQ94" i="11"/>
  <c r="AC94" i="11"/>
  <c r="AD94" i="11"/>
  <c r="H94" i="11"/>
  <c r="R94" i="11"/>
  <c r="E23" i="9"/>
  <c r="F20" i="9" s="1"/>
  <c r="E22" i="9"/>
  <c r="D91" i="11" l="1"/>
  <c r="T91" i="11"/>
  <c r="AP91" i="11"/>
  <c r="R91" i="11"/>
  <c r="AJ91" i="11"/>
  <c r="S91" i="11"/>
  <c r="AG91" i="11"/>
  <c r="AL91" i="11"/>
  <c r="E91" i="11"/>
  <c r="AN91" i="11"/>
  <c r="Y91" i="11"/>
  <c r="I91" i="11"/>
  <c r="AF91" i="11"/>
  <c r="AA91" i="11"/>
  <c r="AC91" i="11"/>
  <c r="G91" i="11"/>
  <c r="AK91" i="11"/>
  <c r="J91" i="11"/>
  <c r="U91" i="11"/>
  <c r="M91" i="11"/>
  <c r="AI91" i="11"/>
  <c r="V91" i="11"/>
  <c r="O91" i="11"/>
  <c r="F91" i="11"/>
  <c r="AE91" i="11"/>
  <c r="AH91" i="11"/>
  <c r="AQ91" i="11"/>
  <c r="Q91" i="11"/>
  <c r="W91" i="11"/>
  <c r="AD91" i="11"/>
  <c r="H91" i="11"/>
  <c r="AB91" i="11"/>
  <c r="N91" i="11"/>
  <c r="Z91" i="11"/>
  <c r="L91" i="11"/>
  <c r="AM91" i="11"/>
  <c r="P91" i="11"/>
  <c r="AO91" i="11"/>
  <c r="X91" i="11"/>
  <c r="K91" i="11"/>
  <c r="E20" i="9"/>
  <c r="E19" i="9" s="1"/>
  <c r="D96" i="11"/>
  <c r="Q96" i="11"/>
  <c r="AJ96" i="11"/>
  <c r="AH96" i="11"/>
  <c r="S96" i="11"/>
  <c r="T96" i="11"/>
  <c r="N96" i="11"/>
  <c r="AE96" i="11"/>
  <c r="E96" i="11"/>
  <c r="AK96" i="11"/>
  <c r="V96" i="11"/>
  <c r="G96" i="11"/>
  <c r="AM96" i="11"/>
  <c r="AG96" i="11"/>
  <c r="AI96" i="11"/>
  <c r="AF96" i="11"/>
  <c r="Y96" i="11"/>
  <c r="J96" i="11"/>
  <c r="AP96" i="11"/>
  <c r="AA96" i="11"/>
  <c r="R96" i="11"/>
  <c r="AC96" i="11"/>
  <c r="AB96" i="11"/>
  <c r="X96" i="11"/>
  <c r="M96" i="11"/>
  <c r="L96" i="11"/>
  <c r="AD96" i="11"/>
  <c r="O96" i="11"/>
  <c r="H96" i="11"/>
  <c r="AN96" i="11"/>
  <c r="I96" i="11"/>
  <c r="Z96" i="11"/>
  <c r="AQ96" i="11"/>
  <c r="U96" i="11"/>
  <c r="F96" i="11"/>
  <c r="AL96" i="11"/>
  <c r="W96" i="11"/>
  <c r="P96" i="11"/>
  <c r="AO96" i="11"/>
  <c r="K96" i="11"/>
  <c r="AC98" i="11"/>
  <c r="N98" i="11"/>
  <c r="AB98" i="11"/>
  <c r="AE98" i="11"/>
  <c r="X98" i="11"/>
  <c r="H98" i="11"/>
  <c r="I98" i="11"/>
  <c r="K98" i="11"/>
  <c r="AF98" i="11"/>
  <c r="Q98" i="11"/>
  <c r="AJ98" i="11"/>
  <c r="AH98" i="11"/>
  <c r="S98" i="11"/>
  <c r="L98" i="11"/>
  <c r="O98" i="11"/>
  <c r="AO98" i="11"/>
  <c r="E98" i="11"/>
  <c r="AK98" i="11"/>
  <c r="V98" i="11"/>
  <c r="G98" i="11"/>
  <c r="AM98" i="11"/>
  <c r="M98" i="11"/>
  <c r="AD98" i="11"/>
  <c r="AN98" i="11"/>
  <c r="U98" i="11"/>
  <c r="Z98" i="11"/>
  <c r="Y98" i="11"/>
  <c r="J98" i="11"/>
  <c r="AP98" i="11"/>
  <c r="AA98" i="11"/>
  <c r="AL98" i="11"/>
  <c r="AQ98" i="11"/>
  <c r="P98" i="11"/>
  <c r="D98" i="11"/>
  <c r="AG98" i="11"/>
  <c r="R98" i="11"/>
  <c r="T98" i="11"/>
  <c r="AI98" i="11"/>
  <c r="F98" i="11"/>
  <c r="W98" i="11"/>
  <c r="G42" i="9"/>
  <c r="G41" i="9" s="1"/>
  <c r="G47" i="9" s="1"/>
  <c r="G46" i="9" s="1"/>
  <c r="H53" i="9"/>
  <c r="H56" i="9" s="1"/>
  <c r="H130" i="9" s="1"/>
  <c r="H132" i="9" s="1"/>
  <c r="C117" i="11" s="1"/>
  <c r="H54" i="9"/>
  <c r="H144" i="9" s="1"/>
  <c r="K93" i="11"/>
  <c r="AI93" i="11"/>
  <c r="M93" i="11"/>
  <c r="L93" i="11"/>
  <c r="N93" i="11"/>
  <c r="AM93" i="11"/>
  <c r="H93" i="11"/>
  <c r="Q93" i="11"/>
  <c r="AG93" i="11"/>
  <c r="U93" i="11"/>
  <c r="V93" i="11"/>
  <c r="P93" i="11"/>
  <c r="J93" i="11"/>
  <c r="S93" i="11"/>
  <c r="AQ93" i="11"/>
  <c r="AB93" i="11"/>
  <c r="AA93" i="11"/>
  <c r="W93" i="11"/>
  <c r="AH93" i="11"/>
  <c r="I93" i="11"/>
  <c r="E93" i="11"/>
  <c r="F93" i="11"/>
  <c r="AE93" i="11"/>
  <c r="AP93" i="11"/>
  <c r="AC93" i="11"/>
  <c r="AD93" i="11"/>
  <c r="Y93" i="11"/>
  <c r="AK93" i="11"/>
  <c r="AL93" i="11"/>
  <c r="AJ93" i="11"/>
  <c r="AO93" i="11"/>
  <c r="T93" i="11"/>
  <c r="AF93" i="11"/>
  <c r="X93" i="11"/>
  <c r="G93" i="11"/>
  <c r="AN93" i="11"/>
  <c r="R93" i="11"/>
  <c r="O93" i="11"/>
  <c r="Z93" i="11"/>
  <c r="AG90" i="11"/>
  <c r="Y90" i="11"/>
  <c r="S90" i="11"/>
  <c r="K90" i="11"/>
  <c r="AA90" i="11"/>
  <c r="AC90" i="11"/>
  <c r="AD90" i="11"/>
  <c r="X90" i="11"/>
  <c r="R90" i="11"/>
  <c r="AQ90" i="11"/>
  <c r="AK90" i="11"/>
  <c r="AL90" i="11"/>
  <c r="AF90" i="11"/>
  <c r="Z90" i="11"/>
  <c r="AO90" i="11"/>
  <c r="I90" i="11"/>
  <c r="W90" i="11"/>
  <c r="AH90" i="11"/>
  <c r="AI90" i="11"/>
  <c r="E90" i="11"/>
  <c r="F90" i="11"/>
  <c r="AE90" i="11"/>
  <c r="T90" i="11"/>
  <c r="AP90" i="11"/>
  <c r="Q90" i="11"/>
  <c r="AB90" i="11"/>
  <c r="M90" i="11"/>
  <c r="N90" i="11"/>
  <c r="AM90" i="11"/>
  <c r="AJ90" i="11"/>
  <c r="U90" i="11"/>
  <c r="V90" i="11"/>
  <c r="H90" i="11"/>
  <c r="P90" i="11"/>
  <c r="G90" i="11"/>
  <c r="AN90" i="11"/>
  <c r="O90" i="11"/>
  <c r="J90" i="11"/>
  <c r="L90" i="11"/>
  <c r="G50" i="9"/>
  <c r="F19" i="9"/>
  <c r="AM117" i="11" l="1"/>
  <c r="AE117" i="11"/>
  <c r="W117" i="11"/>
  <c r="O117" i="11"/>
  <c r="G117" i="11"/>
  <c r="AL117" i="11"/>
  <c r="AD117" i="11"/>
  <c r="V117" i="11"/>
  <c r="N117" i="11"/>
  <c r="F117" i="11"/>
  <c r="AK117" i="11"/>
  <c r="AC117" i="11"/>
  <c r="U117" i="11"/>
  <c r="M117" i="11"/>
  <c r="E117" i="11"/>
  <c r="AJ117" i="11"/>
  <c r="AB117" i="11"/>
  <c r="T117" i="11"/>
  <c r="L117" i="11"/>
  <c r="D117" i="11"/>
  <c r="AQ117" i="11"/>
  <c r="AI117" i="11"/>
  <c r="AA117" i="11"/>
  <c r="S117" i="11"/>
  <c r="K117" i="11"/>
  <c r="AP117" i="11"/>
  <c r="AH117" i="11"/>
  <c r="Z117" i="11"/>
  <c r="R117" i="11"/>
  <c r="J117" i="11"/>
  <c r="Y117" i="11"/>
  <c r="AG117" i="11"/>
  <c r="X117" i="11"/>
  <c r="Q117" i="11"/>
  <c r="AF117" i="11"/>
  <c r="P117" i="11"/>
  <c r="AO117" i="11"/>
  <c r="I117" i="11"/>
  <c r="AN117" i="11"/>
  <c r="H117" i="11"/>
  <c r="G129" i="9"/>
  <c r="G40" i="9"/>
  <c r="H57" i="9"/>
  <c r="H131" i="9" s="1"/>
  <c r="H133" i="9" s="1"/>
  <c r="G54" i="9"/>
  <c r="G144" i="9" s="1"/>
  <c r="G51" i="9"/>
  <c r="G53" i="9" s="1"/>
  <c r="H143" i="9"/>
  <c r="H151" i="9" s="1"/>
  <c r="H52" i="9"/>
  <c r="C34" i="13"/>
  <c r="C33" i="13"/>
  <c r="C30" i="13" s="1"/>
  <c r="C118" i="11" l="1"/>
  <c r="H118" i="11" s="1"/>
  <c r="H55" i="9"/>
  <c r="G57" i="9"/>
  <c r="G131" i="9" s="1"/>
  <c r="G133" i="9" s="1"/>
  <c r="G56" i="9"/>
  <c r="G130" i="9" s="1"/>
  <c r="G132" i="9" s="1"/>
  <c r="C99" i="11" s="1"/>
  <c r="G143" i="9"/>
  <c r="G151" i="9" s="1"/>
  <c r="G52" i="9"/>
  <c r="F114" i="9"/>
  <c r="J118" i="11" l="1"/>
  <c r="Z118" i="11"/>
  <c r="Q118" i="11"/>
  <c r="AI118" i="11"/>
  <c r="AQ118" i="11"/>
  <c r="L118" i="11"/>
  <c r="AB118" i="11"/>
  <c r="AK118" i="11"/>
  <c r="N118" i="11"/>
  <c r="AP118" i="11"/>
  <c r="AL118" i="11"/>
  <c r="AD118" i="11"/>
  <c r="X118" i="11"/>
  <c r="R118" i="11"/>
  <c r="E118" i="11"/>
  <c r="G118" i="11"/>
  <c r="AH118" i="11"/>
  <c r="K118" i="11"/>
  <c r="M118" i="11"/>
  <c r="O118" i="11"/>
  <c r="I118" i="11"/>
  <c r="S118" i="11"/>
  <c r="U118" i="11"/>
  <c r="AM118" i="11"/>
  <c r="AO118" i="11"/>
  <c r="AA118" i="11"/>
  <c r="AC118" i="11"/>
  <c r="P118" i="11"/>
  <c r="AF118" i="11"/>
  <c r="AN118" i="11"/>
  <c r="D118" i="11"/>
  <c r="W118" i="11"/>
  <c r="AG118" i="11"/>
  <c r="Y118" i="11"/>
  <c r="T118" i="11"/>
  <c r="F118" i="11"/>
  <c r="AE118" i="11"/>
  <c r="C100" i="11"/>
  <c r="AJ118" i="11"/>
  <c r="V118" i="11"/>
  <c r="G55" i="9"/>
  <c r="F116" i="9"/>
  <c r="F111" i="9"/>
  <c r="F106" i="9"/>
  <c r="F80" i="9"/>
  <c r="F76" i="9"/>
  <c r="F66" i="9"/>
  <c r="F65" i="9"/>
  <c r="F48" i="9"/>
  <c r="F38" i="9"/>
  <c r="F32" i="9"/>
  <c r="F35" i="9" s="1"/>
  <c r="F33" i="9"/>
  <c r="F36" i="9" s="1"/>
  <c r="F25" i="9"/>
  <c r="F12" i="9" s="1"/>
  <c r="F11" i="9" s="1"/>
  <c r="F34" i="9" l="1"/>
  <c r="F148" i="9"/>
  <c r="F150" i="9" s="1"/>
  <c r="F64" i="9"/>
  <c r="F31" i="9"/>
  <c r="F136" i="9" l="1"/>
  <c r="F72" i="9"/>
  <c r="F69" i="9" s="1"/>
  <c r="F137" i="9" l="1"/>
  <c r="E90" i="9"/>
  <c r="F90" i="9"/>
  <c r="F71" i="9"/>
  <c r="F68" i="9" s="1"/>
  <c r="F138" i="9"/>
  <c r="F18" i="9"/>
  <c r="E124" i="9" l="1"/>
  <c r="E125" i="9"/>
  <c r="E120" i="9"/>
  <c r="E153" i="9" s="1"/>
  <c r="F17" i="9"/>
  <c r="F139" i="9"/>
  <c r="E121" i="9" l="1"/>
  <c r="E127" i="9"/>
  <c r="E86" i="9" s="1"/>
  <c r="E87" i="9" s="1"/>
  <c r="E123" i="9"/>
  <c r="E154" i="9" s="1"/>
  <c r="F140" i="9"/>
  <c r="E17" i="9" l="1"/>
  <c r="E18" i="9"/>
  <c r="C56" i="11"/>
  <c r="D56" i="11" l="1"/>
  <c r="L56" i="11"/>
  <c r="T56" i="11"/>
  <c r="AB56" i="11"/>
  <c r="AJ56" i="11"/>
  <c r="G56" i="11"/>
  <c r="O56" i="11"/>
  <c r="W56" i="11"/>
  <c r="AE56" i="11"/>
  <c r="AM56" i="11"/>
  <c r="H56" i="11"/>
  <c r="P56" i="11"/>
  <c r="X56" i="11"/>
  <c r="AF56" i="11"/>
  <c r="AN56" i="11"/>
  <c r="I56" i="11"/>
  <c r="Q56" i="11"/>
  <c r="Y56" i="11"/>
  <c r="AG56" i="11"/>
  <c r="AO56" i="11"/>
  <c r="J56" i="11"/>
  <c r="R56" i="11"/>
  <c r="Z56" i="11"/>
  <c r="AH56" i="11"/>
  <c r="AP56" i="11"/>
  <c r="K56" i="11"/>
  <c r="S56" i="11"/>
  <c r="AA56" i="11"/>
  <c r="AI56" i="11"/>
  <c r="AQ56" i="11"/>
  <c r="V56" i="11"/>
  <c r="AC56" i="11"/>
  <c r="AD56" i="11"/>
  <c r="E56" i="11"/>
  <c r="AK56" i="11"/>
  <c r="F56" i="11"/>
  <c r="AL56" i="11"/>
  <c r="M56" i="11"/>
  <c r="U56" i="11"/>
  <c r="N56" i="11"/>
  <c r="C59" i="11"/>
  <c r="C60" i="11"/>
  <c r="D60" i="11" l="1"/>
  <c r="L60" i="11"/>
  <c r="T60" i="11"/>
  <c r="I60" i="11"/>
  <c r="Q60" i="11"/>
  <c r="J60" i="11"/>
  <c r="R60" i="11"/>
  <c r="Z60" i="11"/>
  <c r="AH60" i="11"/>
  <c r="AP60" i="11"/>
  <c r="K60" i="11"/>
  <c r="S60" i="11"/>
  <c r="AA60" i="11"/>
  <c r="AI60" i="11"/>
  <c r="F60" i="11"/>
  <c r="V60" i="11"/>
  <c r="AF60" i="11"/>
  <c r="AQ60" i="11"/>
  <c r="G60" i="11"/>
  <c r="W60" i="11"/>
  <c r="AG60" i="11"/>
  <c r="H60" i="11"/>
  <c r="X60" i="11"/>
  <c r="AJ60" i="11"/>
  <c r="M60" i="11"/>
  <c r="Y60" i="11"/>
  <c r="AK60" i="11"/>
  <c r="N60" i="11"/>
  <c r="AB60" i="11"/>
  <c r="AL60" i="11"/>
  <c r="O60" i="11"/>
  <c r="AC60" i="11"/>
  <c r="AM60" i="11"/>
  <c r="E60" i="11"/>
  <c r="AE60" i="11"/>
  <c r="P60" i="11"/>
  <c r="AD60" i="11"/>
  <c r="AN60" i="11"/>
  <c r="U60" i="11"/>
  <c r="AO60" i="11"/>
  <c r="D59" i="11"/>
  <c r="L59" i="11"/>
  <c r="T59" i="11"/>
  <c r="AB59" i="11"/>
  <c r="AJ59" i="11"/>
  <c r="I59" i="11"/>
  <c r="Q59" i="11"/>
  <c r="Y59" i="11"/>
  <c r="AG59" i="11"/>
  <c r="AO59" i="11"/>
  <c r="J59" i="11"/>
  <c r="R59" i="11"/>
  <c r="Z59" i="11"/>
  <c r="AH59" i="11"/>
  <c r="AP59" i="11"/>
  <c r="K59" i="11"/>
  <c r="S59" i="11"/>
  <c r="AA59" i="11"/>
  <c r="AI59" i="11"/>
  <c r="AQ59" i="11"/>
  <c r="N59" i="11"/>
  <c r="AD59" i="11"/>
  <c r="O59" i="11"/>
  <c r="AE59" i="11"/>
  <c r="P59" i="11"/>
  <c r="AF59" i="11"/>
  <c r="E59" i="11"/>
  <c r="U59" i="11"/>
  <c r="AK59" i="11"/>
  <c r="F59" i="11"/>
  <c r="V59" i="11"/>
  <c r="AL59" i="11"/>
  <c r="G59" i="11"/>
  <c r="W59" i="11"/>
  <c r="AM59" i="11"/>
  <c r="M59" i="11"/>
  <c r="H59" i="11"/>
  <c r="X59" i="11"/>
  <c r="AN59" i="11"/>
  <c r="AC59" i="11"/>
  <c r="F124" i="9"/>
  <c r="C76" i="11" s="1"/>
  <c r="F125" i="9"/>
  <c r="C77" i="11" s="1"/>
  <c r="F120" i="9"/>
  <c r="C73" i="11" l="1"/>
  <c r="D73" i="11"/>
  <c r="AA73" i="11"/>
  <c r="AH73" i="11"/>
  <c r="P73" i="11"/>
  <c r="I73" i="11"/>
  <c r="V73" i="11"/>
  <c r="AB73" i="11"/>
  <c r="AF73" i="11"/>
  <c r="U73" i="11"/>
  <c r="AG73" i="11"/>
  <c r="L73" i="11"/>
  <c r="X73" i="11"/>
  <c r="Y73" i="11"/>
  <c r="H73" i="11"/>
  <c r="AN73" i="11"/>
  <c r="G73" i="11"/>
  <c r="AJ73" i="11"/>
  <c r="Q73" i="11"/>
  <c r="AE73" i="11"/>
  <c r="AM73" i="11"/>
  <c r="AO73" i="11"/>
  <c r="AD73" i="11"/>
  <c r="AL73" i="11"/>
  <c r="AK73" i="11"/>
  <c r="Z73" i="11"/>
  <c r="R73" i="11"/>
  <c r="N73" i="11"/>
  <c r="AC73" i="11"/>
  <c r="AI73" i="11"/>
  <c r="S73" i="11"/>
  <c r="J73" i="11"/>
  <c r="AP73" i="11"/>
  <c r="W73" i="11"/>
  <c r="F73" i="11"/>
  <c r="M73" i="11"/>
  <c r="T73" i="11"/>
  <c r="K73" i="11"/>
  <c r="O73" i="11"/>
  <c r="E73" i="11"/>
  <c r="AQ73" i="11"/>
  <c r="E77" i="11"/>
  <c r="AQ77" i="11"/>
  <c r="Z77" i="11"/>
  <c r="I77" i="11"/>
  <c r="AD77" i="11"/>
  <c r="AK77" i="11"/>
  <c r="AB77" i="11"/>
  <c r="AO77" i="11"/>
  <c r="X77" i="11"/>
  <c r="AE77" i="11"/>
  <c r="D77" i="11"/>
  <c r="F77" i="11"/>
  <c r="AI77" i="11"/>
  <c r="R77" i="11"/>
  <c r="V77" i="11"/>
  <c r="K77" i="11"/>
  <c r="O77" i="11"/>
  <c r="AA77" i="11"/>
  <c r="J77" i="11"/>
  <c r="AN77" i="11"/>
  <c r="N77" i="11"/>
  <c r="AF77" i="11"/>
  <c r="AM77" i="11"/>
  <c r="M77" i="11"/>
  <c r="AH77" i="11"/>
  <c r="AL77" i="11"/>
  <c r="AJ77" i="11"/>
  <c r="S77" i="11"/>
  <c r="L77" i="11"/>
  <c r="H77" i="11"/>
  <c r="G77" i="11"/>
  <c r="AC77" i="11"/>
  <c r="T77" i="11"/>
  <c r="AG77" i="11"/>
  <c r="P77" i="11"/>
  <c r="W77" i="11"/>
  <c r="U77" i="11"/>
  <c r="AP77" i="11"/>
  <c r="Y77" i="11"/>
  <c r="Q77" i="11"/>
  <c r="O76" i="11"/>
  <c r="AN76" i="11"/>
  <c r="Z76" i="11"/>
  <c r="D76" i="11"/>
  <c r="AC76" i="11"/>
  <c r="H76" i="11"/>
  <c r="AG76" i="11"/>
  <c r="AJ76" i="11"/>
  <c r="AF76" i="11"/>
  <c r="AQ76" i="11"/>
  <c r="W76" i="11"/>
  <c r="I76" i="11"/>
  <c r="AH76" i="11"/>
  <c r="L76" i="11"/>
  <c r="AK76" i="11"/>
  <c r="V76" i="11"/>
  <c r="S76" i="11"/>
  <c r="U76" i="11"/>
  <c r="F76" i="11"/>
  <c r="AE76" i="11"/>
  <c r="Q76" i="11"/>
  <c r="AP76" i="11"/>
  <c r="T76" i="11"/>
  <c r="G76" i="11"/>
  <c r="N76" i="11"/>
  <c r="AM76" i="11"/>
  <c r="Y76" i="11"/>
  <c r="K76" i="11"/>
  <c r="AB76" i="11"/>
  <c r="AD76" i="11"/>
  <c r="P76" i="11"/>
  <c r="AO76" i="11"/>
  <c r="AA76" i="11"/>
  <c r="E76" i="11"/>
  <c r="AL76" i="11"/>
  <c r="X76" i="11"/>
  <c r="J76" i="11"/>
  <c r="AI76" i="11"/>
  <c r="M76" i="11"/>
  <c r="R76" i="11"/>
  <c r="C58" i="11"/>
  <c r="F121" i="9"/>
  <c r="F123" i="9"/>
  <c r="C75" i="11" l="1"/>
  <c r="AJ75" i="11"/>
  <c r="S75" i="11"/>
  <c r="AF75" i="11"/>
  <c r="AM75" i="11"/>
  <c r="AL75" i="11"/>
  <c r="AH75" i="11"/>
  <c r="Q75" i="11"/>
  <c r="AD75" i="11"/>
  <c r="AK75" i="11"/>
  <c r="AB75" i="11"/>
  <c r="K75" i="11"/>
  <c r="AO75" i="11"/>
  <c r="X75" i="11"/>
  <c r="AE75" i="11"/>
  <c r="Y75" i="11"/>
  <c r="M75" i="11"/>
  <c r="D75" i="11"/>
  <c r="J75" i="11"/>
  <c r="F75" i="11"/>
  <c r="AC75" i="11"/>
  <c r="T75" i="11"/>
  <c r="AG75" i="11"/>
  <c r="P75" i="11"/>
  <c r="W75" i="11"/>
  <c r="AP75" i="11"/>
  <c r="U75" i="11"/>
  <c r="L75" i="11"/>
  <c r="H75" i="11"/>
  <c r="O75" i="11"/>
  <c r="G75" i="11"/>
  <c r="AI75" i="11"/>
  <c r="R75" i="11"/>
  <c r="N75" i="11"/>
  <c r="AA75" i="11"/>
  <c r="E75" i="11"/>
  <c r="AQ75" i="11"/>
  <c r="Z75" i="11"/>
  <c r="I75" i="11"/>
  <c r="V75" i="11"/>
  <c r="AN75" i="11"/>
  <c r="D58" i="11"/>
  <c r="L58" i="11"/>
  <c r="T58" i="11"/>
  <c r="AB58" i="11"/>
  <c r="AJ58" i="11"/>
  <c r="G58" i="11"/>
  <c r="O58" i="11"/>
  <c r="W58" i="11"/>
  <c r="AE58" i="11"/>
  <c r="AM58" i="11"/>
  <c r="H58" i="11"/>
  <c r="P58" i="11"/>
  <c r="X58" i="11"/>
  <c r="I58" i="11"/>
  <c r="Q58" i="11"/>
  <c r="Y58" i="11"/>
  <c r="AG58" i="11"/>
  <c r="AO58" i="11"/>
  <c r="J58" i="11"/>
  <c r="R58" i="11"/>
  <c r="Z58" i="11"/>
  <c r="AH58" i="11"/>
  <c r="AP58" i="11"/>
  <c r="K58" i="11"/>
  <c r="S58" i="11"/>
  <c r="AA58" i="11"/>
  <c r="AI58" i="11"/>
  <c r="AQ58" i="11"/>
  <c r="F58" i="11"/>
  <c r="AK58" i="11"/>
  <c r="M58" i="11"/>
  <c r="AL58" i="11"/>
  <c r="N58" i="11"/>
  <c r="AN58" i="11"/>
  <c r="U58" i="11"/>
  <c r="V58" i="11"/>
  <c r="AC58" i="11"/>
  <c r="E58" i="11"/>
  <c r="AD58" i="11"/>
  <c r="AF58" i="11"/>
  <c r="O9" i="13"/>
  <c r="E14" i="13" l="1"/>
  <c r="E19" i="13" s="1"/>
  <c r="E24" i="13" s="1"/>
  <c r="E31" i="13" s="1"/>
  <c r="L14" i="13"/>
  <c r="L19" i="13" s="1"/>
  <c r="L24" i="13" s="1"/>
  <c r="L30" i="13" s="1"/>
  <c r="D14" i="13"/>
  <c r="D19" i="13" s="1"/>
  <c r="D24" i="13" s="1"/>
  <c r="D30" i="13" s="1"/>
  <c r="I14" i="13"/>
  <c r="I19" i="13" s="1"/>
  <c r="I24" i="13" s="1"/>
  <c r="I31" i="13" s="1"/>
  <c r="C14" i="13"/>
  <c r="C19" i="13" s="1"/>
  <c r="C24" i="13" s="1"/>
  <c r="J14" i="13"/>
  <c r="J19" i="13" s="1"/>
  <c r="J24" i="13" s="1"/>
  <c r="J30" i="13" s="1"/>
  <c r="F14" i="13"/>
  <c r="F19" i="13" s="1"/>
  <c r="F24" i="13" s="1"/>
  <c r="F30" i="13" s="1"/>
  <c r="G14" i="13"/>
  <c r="G19" i="13" s="1"/>
  <c r="G24" i="13" s="1"/>
  <c r="G31" i="13" s="1"/>
  <c r="N14" i="13"/>
  <c r="N19" i="13" s="1"/>
  <c r="N24" i="13" s="1"/>
  <c r="M14" i="13"/>
  <c r="M19" i="13" s="1"/>
  <c r="M24" i="13" s="1"/>
  <c r="H14" i="13"/>
  <c r="H19" i="13" s="1"/>
  <c r="H24" i="13" s="1"/>
  <c r="K14" i="13"/>
  <c r="K19" i="13" s="1"/>
  <c r="K24" i="13" s="1"/>
  <c r="E30" i="13" l="1"/>
  <c r="C31" i="13"/>
  <c r="L31" i="13"/>
  <c r="I30" i="13"/>
  <c r="F31" i="13"/>
  <c r="D31" i="13"/>
  <c r="J31" i="13"/>
  <c r="G30" i="13"/>
  <c r="K31" i="13"/>
  <c r="K30" i="13"/>
  <c r="N30" i="13"/>
  <c r="N31" i="13"/>
  <c r="O14" i="13"/>
  <c r="H31" i="13"/>
  <c r="H30" i="13"/>
  <c r="M31" i="13"/>
  <c r="M30" i="13"/>
  <c r="O30" i="13" l="1"/>
  <c r="C42" i="13" s="1"/>
  <c r="N39" i="13" s="1"/>
  <c r="N53" i="13" s="1"/>
  <c r="O31" i="13"/>
  <c r="C43" i="13" s="1"/>
  <c r="S43" i="11" l="1"/>
  <c r="S33" i="11"/>
  <c r="S72" i="11" s="1"/>
  <c r="L39" i="13"/>
  <c r="I39" i="13"/>
  <c r="K39" i="13"/>
  <c r="K53" i="13" s="1"/>
  <c r="H39" i="13"/>
  <c r="H53" i="13" s="1"/>
  <c r="M39" i="13"/>
  <c r="M53" i="13" s="1"/>
  <c r="D39" i="13"/>
  <c r="D53" i="13" s="1"/>
  <c r="G39" i="13"/>
  <c r="G53" i="13" s="1"/>
  <c r="F39" i="13"/>
  <c r="C39" i="13"/>
  <c r="E39" i="13"/>
  <c r="E53" i="13" s="1"/>
  <c r="J39" i="13"/>
  <c r="J53" i="13" s="1"/>
  <c r="E40" i="13"/>
  <c r="E54" i="13" s="1"/>
  <c r="F40" i="13"/>
  <c r="F54" i="13" s="1"/>
  <c r="D40" i="13"/>
  <c r="D54" i="13" s="1"/>
  <c r="I40" i="13"/>
  <c r="I54" i="13" s="1"/>
  <c r="J40" i="13"/>
  <c r="J54" i="13" s="1"/>
  <c r="G40" i="13"/>
  <c r="G54" i="13" s="1"/>
  <c r="L40" i="13"/>
  <c r="L54" i="13" s="1"/>
  <c r="H40" i="13"/>
  <c r="H54" i="13" s="1"/>
  <c r="K40" i="13"/>
  <c r="K54" i="13" s="1"/>
  <c r="N40" i="13"/>
  <c r="N54" i="13" s="1"/>
  <c r="C40" i="13"/>
  <c r="C54" i="13" s="1"/>
  <c r="M40" i="13"/>
  <c r="M54" i="13" s="1"/>
  <c r="S44" i="11" l="1"/>
  <c r="S71" i="11"/>
  <c r="S34" i="11"/>
  <c r="U33" i="11"/>
  <c r="U43" i="11"/>
  <c r="W33" i="11"/>
  <c r="W43" i="11"/>
  <c r="M33" i="11"/>
  <c r="M72" i="11" s="1"/>
  <c r="M43" i="11"/>
  <c r="M71" i="11" s="1"/>
  <c r="Y43" i="11"/>
  <c r="Y33" i="11"/>
  <c r="AB33" i="11"/>
  <c r="AB43" i="11"/>
  <c r="O33" i="11"/>
  <c r="O72" i="11" s="1"/>
  <c r="O43" i="11"/>
  <c r="O71" i="11" s="1"/>
  <c r="J33" i="11"/>
  <c r="J72" i="11" s="1"/>
  <c r="J43" i="11"/>
  <c r="J71" i="11" s="1"/>
  <c r="I43" i="11"/>
  <c r="I71" i="11" s="1"/>
  <c r="I33" i="11"/>
  <c r="I72" i="11" s="1"/>
  <c r="R43" i="11"/>
  <c r="R33" i="11"/>
  <c r="R72" i="11" s="1"/>
  <c r="V33" i="11"/>
  <c r="V43" i="11"/>
  <c r="X43" i="11"/>
  <c r="X33" i="11"/>
  <c r="AE33" i="11"/>
  <c r="AE43" i="11"/>
  <c r="P43" i="11"/>
  <c r="P71" i="11" s="1"/>
  <c r="P33" i="11"/>
  <c r="P72" i="11" s="1"/>
  <c r="AC33" i="11"/>
  <c r="AC43" i="11"/>
  <c r="AA33" i="11"/>
  <c r="AA43" i="11"/>
  <c r="T33" i="11"/>
  <c r="T43" i="11"/>
  <c r="AD33" i="11"/>
  <c r="AD43" i="11"/>
  <c r="Z33" i="11"/>
  <c r="Z43" i="11"/>
  <c r="L33" i="11"/>
  <c r="L43" i="11"/>
  <c r="F48" i="13"/>
  <c r="F56" i="13" s="1"/>
  <c r="C53" i="13"/>
  <c r="C48" i="13"/>
  <c r="C56" i="13" s="1"/>
  <c r="F53" i="13"/>
  <c r="D48" i="13"/>
  <c r="D56" i="13" s="1"/>
  <c r="I53" i="13"/>
  <c r="E48" i="13"/>
  <c r="E56" i="13" s="1"/>
  <c r="L53" i="13"/>
  <c r="O54" i="13"/>
  <c r="S35" i="11" l="1"/>
  <c r="S89" i="11"/>
  <c r="S45" i="11"/>
  <c r="S88" i="11"/>
  <c r="U34" i="11"/>
  <c r="U72" i="11"/>
  <c r="AG72" i="11"/>
  <c r="AE44" i="11"/>
  <c r="AE71" i="11"/>
  <c r="AQ71" i="11"/>
  <c r="Y34" i="11"/>
  <c r="AK72" i="11"/>
  <c r="Y72" i="11"/>
  <c r="T34" i="11"/>
  <c r="T72" i="11"/>
  <c r="AF72" i="11"/>
  <c r="Y44" i="11"/>
  <c r="AK71" i="11"/>
  <c r="Y71" i="11"/>
  <c r="U44" i="11"/>
  <c r="U71" i="11"/>
  <c r="AG71" i="11"/>
  <c r="AE72" i="11"/>
  <c r="AQ72" i="11"/>
  <c r="AD71" i="11"/>
  <c r="AP71" i="11"/>
  <c r="AB44" i="11"/>
  <c r="AB71" i="11"/>
  <c r="AN71" i="11"/>
  <c r="AD34" i="11"/>
  <c r="AD72" i="11"/>
  <c r="AP72" i="11"/>
  <c r="AB34" i="11"/>
  <c r="AB72" i="11"/>
  <c r="AN72" i="11"/>
  <c r="T71" i="11"/>
  <c r="AF71" i="11"/>
  <c r="L44" i="11"/>
  <c r="L71" i="11"/>
  <c r="AA44" i="11"/>
  <c r="AM71" i="11"/>
  <c r="AA71" i="11"/>
  <c r="X34" i="11"/>
  <c r="AJ72" i="11"/>
  <c r="X72" i="11"/>
  <c r="L34" i="11"/>
  <c r="L72" i="11"/>
  <c r="AA34" i="11"/>
  <c r="AM72" i="11"/>
  <c r="AA72" i="11"/>
  <c r="R44" i="11"/>
  <c r="R71" i="11"/>
  <c r="Z44" i="11"/>
  <c r="AL71" i="11"/>
  <c r="Z71" i="11"/>
  <c r="AC44" i="11"/>
  <c r="AC71" i="11"/>
  <c r="AO71" i="11"/>
  <c r="V44" i="11"/>
  <c r="V71" i="11"/>
  <c r="AH71" i="11"/>
  <c r="W44" i="11"/>
  <c r="W71" i="11"/>
  <c r="AI71" i="11"/>
  <c r="AJ71" i="11"/>
  <c r="X71" i="11"/>
  <c r="Z34" i="11"/>
  <c r="AL72" i="11"/>
  <c r="Z72" i="11"/>
  <c r="AC34" i="11"/>
  <c r="AC72" i="11"/>
  <c r="AO72" i="11"/>
  <c r="V34" i="11"/>
  <c r="V72" i="11"/>
  <c r="AH72" i="11"/>
  <c r="W34" i="11"/>
  <c r="W72" i="11"/>
  <c r="AI72" i="11"/>
  <c r="J44" i="11"/>
  <c r="O34" i="11"/>
  <c r="AD44" i="11"/>
  <c r="X44" i="11"/>
  <c r="M34" i="11"/>
  <c r="P44" i="11"/>
  <c r="M44" i="11"/>
  <c r="P34" i="11"/>
  <c r="J34" i="11"/>
  <c r="O44" i="11"/>
  <c r="R34" i="11"/>
  <c r="T44" i="11"/>
  <c r="I34" i="11"/>
  <c r="AE34" i="11"/>
  <c r="I44" i="11"/>
  <c r="G43" i="11"/>
  <c r="G71" i="11" s="1"/>
  <c r="G33" i="11"/>
  <c r="G72" i="11" s="1"/>
  <c r="Q43" i="11"/>
  <c r="Q33" i="11"/>
  <c r="Q72" i="11" s="1"/>
  <c r="E33" i="11"/>
  <c r="E72" i="11" s="1"/>
  <c r="E43" i="11"/>
  <c r="E71" i="11" s="1"/>
  <c r="F33" i="11"/>
  <c r="F72" i="11" s="1"/>
  <c r="F43" i="11"/>
  <c r="F71" i="11" s="1"/>
  <c r="N33" i="11"/>
  <c r="N72" i="11" s="1"/>
  <c r="N43" i="11"/>
  <c r="D33" i="11"/>
  <c r="D72" i="11" s="1"/>
  <c r="D43" i="11"/>
  <c r="D71" i="11" s="1"/>
  <c r="K33" i="11"/>
  <c r="K72" i="11" s="1"/>
  <c r="K43" i="11"/>
  <c r="K71" i="11" s="1"/>
  <c r="H43" i="11"/>
  <c r="H71" i="11" s="1"/>
  <c r="H33" i="11"/>
  <c r="H72" i="11" s="1"/>
  <c r="O53" i="13"/>
  <c r="G56" i="13"/>
  <c r="S99" i="11" l="1"/>
  <c r="S100" i="11"/>
  <c r="P45" i="11"/>
  <c r="P88" i="11"/>
  <c r="AA35" i="11"/>
  <c r="AM89" i="11"/>
  <c r="AA89" i="11"/>
  <c r="AA45" i="11"/>
  <c r="AA88" i="11"/>
  <c r="AM88" i="11"/>
  <c r="I45" i="11"/>
  <c r="I88" i="11"/>
  <c r="S46" i="11"/>
  <c r="S106" i="11"/>
  <c r="Y45" i="11"/>
  <c r="AK88" i="11"/>
  <c r="Y88" i="11"/>
  <c r="P35" i="11"/>
  <c r="P89" i="11"/>
  <c r="AB35" i="11"/>
  <c r="AB89" i="11"/>
  <c r="AN89" i="11"/>
  <c r="I35" i="11"/>
  <c r="I89" i="11"/>
  <c r="AC45" i="11"/>
  <c r="AC88" i="11"/>
  <c r="AO88" i="11"/>
  <c r="V35" i="11"/>
  <c r="AH89" i="11"/>
  <c r="V89" i="11"/>
  <c r="M35" i="11"/>
  <c r="M89" i="11"/>
  <c r="W35" i="11"/>
  <c r="AI89" i="11"/>
  <c r="W89" i="11"/>
  <c r="L35" i="11"/>
  <c r="L89" i="11"/>
  <c r="S36" i="11"/>
  <c r="S107" i="11"/>
  <c r="R45" i="11"/>
  <c r="R88" i="11"/>
  <c r="Y35" i="11"/>
  <c r="AK89" i="11"/>
  <c r="Y89" i="11"/>
  <c r="X45" i="11"/>
  <c r="AJ88" i="11"/>
  <c r="X88" i="11"/>
  <c r="L45" i="11"/>
  <c r="L88" i="11"/>
  <c r="AE45" i="11"/>
  <c r="AQ88" i="11"/>
  <c r="AE88" i="11"/>
  <c r="AD45" i="11"/>
  <c r="AP88" i="11"/>
  <c r="AD88" i="11"/>
  <c r="O45" i="11"/>
  <c r="O88" i="11"/>
  <c r="O35" i="11"/>
  <c r="O89" i="11"/>
  <c r="W45" i="11"/>
  <c r="AI88" i="11"/>
  <c r="W88" i="11"/>
  <c r="U45" i="11"/>
  <c r="U88" i="11"/>
  <c r="AG88" i="11"/>
  <c r="T35" i="11"/>
  <c r="T89" i="11"/>
  <c r="AF89" i="11"/>
  <c r="M45" i="11"/>
  <c r="M88" i="11"/>
  <c r="V45" i="11"/>
  <c r="AH88" i="11"/>
  <c r="V88" i="11"/>
  <c r="AE35" i="11"/>
  <c r="AQ89" i="11"/>
  <c r="AE89" i="11"/>
  <c r="T45" i="11"/>
  <c r="T88" i="11"/>
  <c r="AF88" i="11"/>
  <c r="AC35" i="11"/>
  <c r="AC89" i="11"/>
  <c r="AO89" i="11"/>
  <c r="AD35" i="11"/>
  <c r="AP89" i="11"/>
  <c r="AD89" i="11"/>
  <c r="R35" i="11"/>
  <c r="R89" i="11"/>
  <c r="J35" i="11"/>
  <c r="J89" i="11"/>
  <c r="J45" i="11"/>
  <c r="J88" i="11"/>
  <c r="Z35" i="11"/>
  <c r="Z89" i="11"/>
  <c r="AL89" i="11"/>
  <c r="Z45" i="11"/>
  <c r="Z88" i="11"/>
  <c r="AL88" i="11"/>
  <c r="X35" i="11"/>
  <c r="AJ89" i="11"/>
  <c r="X89" i="11"/>
  <c r="AB45" i="11"/>
  <c r="AB88" i="11"/>
  <c r="AN88" i="11"/>
  <c r="U35" i="11"/>
  <c r="U89" i="11"/>
  <c r="AG89" i="11"/>
  <c r="Q44" i="11"/>
  <c r="Q71" i="11"/>
  <c r="N44" i="11"/>
  <c r="N71" i="11"/>
  <c r="K44" i="11"/>
  <c r="K34" i="11"/>
  <c r="F34" i="11"/>
  <c r="D34" i="11"/>
  <c r="E34" i="11"/>
  <c r="E44" i="11"/>
  <c r="Q34" i="11"/>
  <c r="F44" i="11"/>
  <c r="D44" i="11"/>
  <c r="H34" i="11"/>
  <c r="G34" i="11"/>
  <c r="H44" i="11"/>
  <c r="N34" i="11"/>
  <c r="G44" i="11"/>
  <c r="E101" i="9"/>
  <c r="F101" i="9"/>
  <c r="AL99" i="11" l="1"/>
  <c r="AL100" i="11"/>
  <c r="AO99" i="11"/>
  <c r="AO100" i="11"/>
  <c r="X99" i="11"/>
  <c r="X100" i="11"/>
  <c r="Z100" i="11"/>
  <c r="Z99" i="11"/>
  <c r="AC99" i="11"/>
  <c r="AC100" i="11"/>
  <c r="AF99" i="11"/>
  <c r="AF100" i="11"/>
  <c r="O99" i="11"/>
  <c r="O100" i="11"/>
  <c r="L99" i="11"/>
  <c r="L100" i="11"/>
  <c r="AA99" i="11"/>
  <c r="AA100" i="11"/>
  <c r="U99" i="11"/>
  <c r="U100" i="11"/>
  <c r="AJ99" i="11"/>
  <c r="AJ100" i="11"/>
  <c r="AE99" i="11"/>
  <c r="AE100" i="11"/>
  <c r="T99" i="11"/>
  <c r="T100" i="11"/>
  <c r="P100" i="11"/>
  <c r="P99" i="11"/>
  <c r="AM99" i="11"/>
  <c r="AM100" i="11"/>
  <c r="AK99" i="11"/>
  <c r="AK100" i="11"/>
  <c r="J100" i="11"/>
  <c r="J99" i="11"/>
  <c r="R100" i="11"/>
  <c r="R99" i="11"/>
  <c r="AQ99" i="11"/>
  <c r="AQ100" i="11"/>
  <c r="W99" i="11"/>
  <c r="W100" i="11"/>
  <c r="M99" i="11"/>
  <c r="M100" i="11"/>
  <c r="I99" i="11"/>
  <c r="I100" i="11"/>
  <c r="AG99" i="11"/>
  <c r="AG100" i="11"/>
  <c r="AI99" i="11"/>
  <c r="AI100" i="11"/>
  <c r="V99" i="11"/>
  <c r="V100" i="11"/>
  <c r="AB99" i="11"/>
  <c r="AB100" i="11"/>
  <c r="AD100" i="11"/>
  <c r="AD99" i="11"/>
  <c r="AH99" i="11"/>
  <c r="AH100" i="11"/>
  <c r="AP99" i="11"/>
  <c r="AP100" i="11"/>
  <c r="Y99" i="11"/>
  <c r="Y100" i="11"/>
  <c r="AN99" i="11"/>
  <c r="AN100" i="11"/>
  <c r="P46" i="11"/>
  <c r="P106" i="11"/>
  <c r="K45" i="11"/>
  <c r="K88" i="11"/>
  <c r="U36" i="11"/>
  <c r="U107" i="11"/>
  <c r="AG107" i="11"/>
  <c r="T36" i="11"/>
  <c r="AF107" i="11"/>
  <c r="T107" i="11"/>
  <c r="W46" i="11"/>
  <c r="W106" i="11"/>
  <c r="AI106" i="11"/>
  <c r="O36" i="11"/>
  <c r="O107" i="11"/>
  <c r="L46" i="11"/>
  <c r="L106" i="11"/>
  <c r="S37" i="11"/>
  <c r="S143" i="11" s="1"/>
  <c r="S125" i="11"/>
  <c r="AB36" i="11"/>
  <c r="AN107" i="11"/>
  <c r="AB107" i="11"/>
  <c r="AE36" i="11"/>
  <c r="AE107" i="11"/>
  <c r="AQ107" i="11"/>
  <c r="H35" i="11"/>
  <c r="H89" i="11"/>
  <c r="T46" i="11"/>
  <c r="AF106" i="11"/>
  <c r="T106" i="11"/>
  <c r="M46" i="11"/>
  <c r="M106" i="11"/>
  <c r="AC46" i="11"/>
  <c r="AC106" i="11"/>
  <c r="AO106" i="11"/>
  <c r="AD36" i="11"/>
  <c r="AP107" i="11"/>
  <c r="AD107" i="11"/>
  <c r="M36" i="11"/>
  <c r="M107" i="11"/>
  <c r="I36" i="11"/>
  <c r="I107" i="11"/>
  <c r="S124" i="11"/>
  <c r="S47" i="11"/>
  <c r="S142" i="11" s="1"/>
  <c r="I46" i="11"/>
  <c r="I106" i="11"/>
  <c r="X46" i="11"/>
  <c r="X106" i="11"/>
  <c r="AJ106" i="11"/>
  <c r="Q45" i="11"/>
  <c r="Q88" i="11"/>
  <c r="X36" i="11"/>
  <c r="X107" i="11"/>
  <c r="AJ107" i="11"/>
  <c r="O46" i="11"/>
  <c r="O106" i="11"/>
  <c r="Y36" i="11"/>
  <c r="AK107" i="11"/>
  <c r="Y107" i="11"/>
  <c r="AA46" i="11"/>
  <c r="AM106" i="11"/>
  <c r="AA106" i="11"/>
  <c r="J36" i="11"/>
  <c r="J107" i="11"/>
  <c r="K35" i="11"/>
  <c r="K89" i="11"/>
  <c r="N45" i="11"/>
  <c r="N88" i="11"/>
  <c r="Q35" i="11"/>
  <c r="Q89" i="11"/>
  <c r="G45" i="11"/>
  <c r="G88" i="11"/>
  <c r="U46" i="11"/>
  <c r="U106" i="11"/>
  <c r="AG106" i="11"/>
  <c r="F35" i="11"/>
  <c r="F89" i="11"/>
  <c r="R36" i="11"/>
  <c r="R107" i="11"/>
  <c r="AE46" i="11"/>
  <c r="AE106" i="11"/>
  <c r="AQ106" i="11"/>
  <c r="V36" i="11"/>
  <c r="V107" i="11"/>
  <c r="AH107" i="11"/>
  <c r="AD46" i="11"/>
  <c r="AD106" i="11"/>
  <c r="AP106" i="11"/>
  <c r="D45" i="11"/>
  <c r="D88" i="11"/>
  <c r="E35" i="11"/>
  <c r="E89" i="11"/>
  <c r="Z36" i="11"/>
  <c r="AL107" i="11"/>
  <c r="Z107" i="11"/>
  <c r="J46" i="11"/>
  <c r="J106" i="11"/>
  <c r="AC36" i="11"/>
  <c r="AC107" i="11"/>
  <c r="AO107" i="11"/>
  <c r="R46" i="11"/>
  <c r="R106" i="11"/>
  <c r="L36" i="11"/>
  <c r="L107" i="11"/>
  <c r="G35" i="11"/>
  <c r="G89" i="11"/>
  <c r="P36" i="11"/>
  <c r="P107" i="11"/>
  <c r="W36" i="11"/>
  <c r="W107" i="11"/>
  <c r="AI107" i="11"/>
  <c r="F45" i="11"/>
  <c r="F88" i="11"/>
  <c r="AB46" i="11"/>
  <c r="AN106" i="11"/>
  <c r="AB106" i="11"/>
  <c r="E45" i="11"/>
  <c r="E88" i="11"/>
  <c r="N35" i="11"/>
  <c r="N89" i="11"/>
  <c r="H45" i="11"/>
  <c r="H88" i="11"/>
  <c r="D35" i="11"/>
  <c r="D89" i="11"/>
  <c r="Z46" i="11"/>
  <c r="AL106" i="11"/>
  <c r="Z106" i="11"/>
  <c r="V46" i="11"/>
  <c r="V106" i="11"/>
  <c r="AH106" i="11"/>
  <c r="Y46" i="11"/>
  <c r="AK106" i="11"/>
  <c r="Y106" i="11"/>
  <c r="AA36" i="11"/>
  <c r="AM107" i="11"/>
  <c r="AA107" i="11"/>
  <c r="E126" i="9"/>
  <c r="C61" i="11" s="1"/>
  <c r="E128" i="9"/>
  <c r="E97" i="9"/>
  <c r="E44" i="9"/>
  <c r="F97" i="9"/>
  <c r="F128" i="9"/>
  <c r="C80" i="11" s="1"/>
  <c r="F126" i="9"/>
  <c r="C78" i="11" s="1"/>
  <c r="F78" i="11" l="1"/>
  <c r="AC78" i="11"/>
  <c r="T78" i="11"/>
  <c r="AG78" i="11"/>
  <c r="P78" i="11"/>
  <c r="W78" i="11"/>
  <c r="AI78" i="11"/>
  <c r="R78" i="11"/>
  <c r="AM78" i="11"/>
  <c r="AK78" i="11"/>
  <c r="U78" i="11"/>
  <c r="L78" i="11"/>
  <c r="AP78" i="11"/>
  <c r="Y78" i="11"/>
  <c r="H78" i="11"/>
  <c r="O78" i="11"/>
  <c r="AL78" i="11"/>
  <c r="AF78" i="11"/>
  <c r="N78" i="11"/>
  <c r="K78" i="11"/>
  <c r="M78" i="11"/>
  <c r="D78" i="11"/>
  <c r="AH78" i="11"/>
  <c r="Q78" i="11"/>
  <c r="G78" i="11"/>
  <c r="AE78" i="11"/>
  <c r="E78" i="11"/>
  <c r="AQ78" i="11"/>
  <c r="Z78" i="11"/>
  <c r="I78" i="11"/>
  <c r="AD78" i="11"/>
  <c r="AO78" i="11"/>
  <c r="X78" i="11"/>
  <c r="AA78" i="11"/>
  <c r="J78" i="11"/>
  <c r="AN78" i="11"/>
  <c r="V78" i="11"/>
  <c r="AJ78" i="11"/>
  <c r="S78" i="11"/>
  <c r="AB78" i="11"/>
  <c r="O80" i="11"/>
  <c r="AA80" i="11"/>
  <c r="J80" i="11"/>
  <c r="AN80" i="11"/>
  <c r="AD80" i="11"/>
  <c r="R80" i="11"/>
  <c r="G80" i="11"/>
  <c r="AJ80" i="11"/>
  <c r="S80" i="11"/>
  <c r="AF80" i="11"/>
  <c r="V80" i="11"/>
  <c r="N80" i="11"/>
  <c r="U80" i="11"/>
  <c r="L80" i="11"/>
  <c r="AP80" i="11"/>
  <c r="I80" i="11"/>
  <c r="W80" i="11"/>
  <c r="AK80" i="11"/>
  <c r="AB80" i="11"/>
  <c r="K80" i="11"/>
  <c r="AO80" i="11"/>
  <c r="X80" i="11"/>
  <c r="AI80" i="11"/>
  <c r="AC80" i="11"/>
  <c r="T80" i="11"/>
  <c r="AG80" i="11"/>
  <c r="P80" i="11"/>
  <c r="Y80" i="11"/>
  <c r="H80" i="11"/>
  <c r="Z80" i="11"/>
  <c r="AM80" i="11"/>
  <c r="M80" i="11"/>
  <c r="D80" i="11"/>
  <c r="AH80" i="11"/>
  <c r="Q80" i="11"/>
  <c r="F80" i="11"/>
  <c r="AE80" i="11"/>
  <c r="E80" i="11"/>
  <c r="AQ80" i="11"/>
  <c r="AL80" i="11"/>
  <c r="Q99" i="11"/>
  <c r="Q100" i="11"/>
  <c r="F99" i="11"/>
  <c r="F100" i="11"/>
  <c r="N100" i="11"/>
  <c r="N99" i="11"/>
  <c r="E99" i="11"/>
  <c r="E100" i="11"/>
  <c r="D99" i="11"/>
  <c r="D100" i="11"/>
  <c r="H99" i="11"/>
  <c r="H100" i="11"/>
  <c r="G99" i="11"/>
  <c r="G100" i="11"/>
  <c r="K99" i="11"/>
  <c r="K100" i="11"/>
  <c r="U47" i="11"/>
  <c r="AG124" i="11"/>
  <c r="U124" i="11"/>
  <c r="I124" i="11"/>
  <c r="I47" i="11"/>
  <c r="I142" i="11" s="1"/>
  <c r="F36" i="11"/>
  <c r="F107" i="11"/>
  <c r="H36" i="11"/>
  <c r="H107" i="11"/>
  <c r="L124" i="11"/>
  <c r="L47" i="11"/>
  <c r="L142" i="11" s="1"/>
  <c r="T37" i="11"/>
  <c r="AF125" i="11"/>
  <c r="T125" i="11"/>
  <c r="Z37" i="11"/>
  <c r="AL125" i="11"/>
  <c r="Z125" i="11"/>
  <c r="D36" i="11"/>
  <c r="D107" i="11"/>
  <c r="P37" i="11"/>
  <c r="P143" i="11" s="1"/>
  <c r="P125" i="11"/>
  <c r="E36" i="11"/>
  <c r="E107" i="11"/>
  <c r="V37" i="11"/>
  <c r="V125" i="11"/>
  <c r="AH125" i="11"/>
  <c r="Q36" i="11"/>
  <c r="Q107" i="11"/>
  <c r="K46" i="11"/>
  <c r="K106" i="11"/>
  <c r="T47" i="11"/>
  <c r="AF124" i="11"/>
  <c r="T124" i="11"/>
  <c r="AA37" i="11"/>
  <c r="AM125" i="11"/>
  <c r="AA125" i="11"/>
  <c r="Q46" i="11"/>
  <c r="Q106" i="11"/>
  <c r="AD37" i="11"/>
  <c r="AD125" i="11"/>
  <c r="AP125" i="11"/>
  <c r="O37" i="11"/>
  <c r="O143" i="11" s="1"/>
  <c r="O125" i="11"/>
  <c r="AB37" i="11"/>
  <c r="AN125" i="11"/>
  <c r="AB125" i="11"/>
  <c r="Z47" i="11"/>
  <c r="AL124" i="11"/>
  <c r="Z124" i="11"/>
  <c r="X37" i="11"/>
  <c r="X125" i="11"/>
  <c r="AJ125" i="11"/>
  <c r="L37" i="11"/>
  <c r="L143" i="11" s="1"/>
  <c r="L125" i="11"/>
  <c r="N46" i="11"/>
  <c r="N106" i="11"/>
  <c r="Y37" i="11"/>
  <c r="Y125" i="11"/>
  <c r="AK125" i="11"/>
  <c r="I37" i="11"/>
  <c r="I143" i="11" s="1"/>
  <c r="I125" i="11"/>
  <c r="M124" i="11"/>
  <c r="M47" i="11"/>
  <c r="M142" i="11" s="1"/>
  <c r="AE37" i="11"/>
  <c r="AE125" i="11"/>
  <c r="AQ125" i="11"/>
  <c r="P124" i="11"/>
  <c r="P47" i="11"/>
  <c r="P142" i="11" s="1"/>
  <c r="V47" i="11"/>
  <c r="V124" i="11"/>
  <c r="AH124" i="11"/>
  <c r="W37" i="11"/>
  <c r="W125" i="11"/>
  <c r="AI125" i="11"/>
  <c r="AC37" i="11"/>
  <c r="AO125" i="11"/>
  <c r="AC125" i="11"/>
  <c r="AE47" i="11"/>
  <c r="AE124" i="11"/>
  <c r="AQ124" i="11"/>
  <c r="R37" i="11"/>
  <c r="R143" i="11" s="1"/>
  <c r="R125" i="11"/>
  <c r="E46" i="11"/>
  <c r="E106" i="11"/>
  <c r="K36" i="11"/>
  <c r="K107" i="11"/>
  <c r="AC47" i="11"/>
  <c r="AO124" i="11"/>
  <c r="AC124" i="11"/>
  <c r="U37" i="11"/>
  <c r="AG125" i="11"/>
  <c r="U125" i="11"/>
  <c r="AA47" i="11"/>
  <c r="AM124" i="11"/>
  <c r="AA124" i="11"/>
  <c r="AB47" i="11"/>
  <c r="AN124" i="11"/>
  <c r="AB124" i="11"/>
  <c r="AD47" i="11"/>
  <c r="AD124" i="11"/>
  <c r="AP124" i="11"/>
  <c r="H46" i="11"/>
  <c r="H106" i="11"/>
  <c r="F46" i="11"/>
  <c r="F106" i="11"/>
  <c r="J124" i="11"/>
  <c r="J47" i="11"/>
  <c r="J142" i="11" s="1"/>
  <c r="Y47" i="11"/>
  <c r="Y124" i="11"/>
  <c r="AK124" i="11"/>
  <c r="N36" i="11"/>
  <c r="N107" i="11"/>
  <c r="G36" i="11"/>
  <c r="G107" i="11"/>
  <c r="R124" i="11"/>
  <c r="R47" i="11"/>
  <c r="R142" i="11" s="1"/>
  <c r="D46" i="11"/>
  <c r="D106" i="11"/>
  <c r="G46" i="11"/>
  <c r="G106" i="11"/>
  <c r="J37" i="11"/>
  <c r="J143" i="11" s="1"/>
  <c r="J125" i="11"/>
  <c r="O124" i="11"/>
  <c r="O47" i="11"/>
  <c r="O142" i="11" s="1"/>
  <c r="X47" i="11"/>
  <c r="X124" i="11"/>
  <c r="AJ124" i="11"/>
  <c r="M37" i="11"/>
  <c r="M143" i="11" s="1"/>
  <c r="M125" i="11"/>
  <c r="W47" i="11"/>
  <c r="W124" i="11"/>
  <c r="AI124" i="11"/>
  <c r="K61" i="11"/>
  <c r="S61" i="11"/>
  <c r="AA61" i="11"/>
  <c r="AI61" i="11"/>
  <c r="AQ61" i="11"/>
  <c r="D61" i="11"/>
  <c r="L61" i="11"/>
  <c r="T61" i="11"/>
  <c r="AB61" i="11"/>
  <c r="AJ61" i="11"/>
  <c r="W61" i="11"/>
  <c r="E61" i="11"/>
  <c r="M61" i="11"/>
  <c r="U61" i="11"/>
  <c r="AC61" i="11"/>
  <c r="AK61" i="11"/>
  <c r="AM61" i="11"/>
  <c r="F61" i="11"/>
  <c r="N61" i="11"/>
  <c r="V61" i="11"/>
  <c r="AD61" i="11"/>
  <c r="AL61" i="11"/>
  <c r="G61" i="11"/>
  <c r="O61" i="11"/>
  <c r="AE61" i="11"/>
  <c r="H61" i="11"/>
  <c r="P61" i="11"/>
  <c r="X61" i="11"/>
  <c r="AF61" i="11"/>
  <c r="AN61" i="11"/>
  <c r="J61" i="11"/>
  <c r="Z61" i="11"/>
  <c r="AP61" i="11"/>
  <c r="I61" i="11"/>
  <c r="Q61" i="11"/>
  <c r="Y61" i="11"/>
  <c r="AG61" i="11"/>
  <c r="AO61" i="11"/>
  <c r="R61" i="11"/>
  <c r="AH61" i="11"/>
  <c r="E43" i="9"/>
  <c r="E49" i="9" s="1"/>
  <c r="E42" i="9"/>
  <c r="E41" i="9" s="1"/>
  <c r="C63" i="11"/>
  <c r="E37" i="11" l="1"/>
  <c r="E143" i="11" s="1"/>
  <c r="E125" i="11"/>
  <c r="AF143" i="11"/>
  <c r="T143" i="11"/>
  <c r="Z142" i="11"/>
  <c r="AL142" i="11"/>
  <c r="AP143" i="11"/>
  <c r="AD143" i="11"/>
  <c r="Q37" i="11"/>
  <c r="Q143" i="11" s="1"/>
  <c r="Q125" i="11"/>
  <c r="G124" i="11"/>
  <c r="G47" i="11"/>
  <c r="G142" i="11" s="1"/>
  <c r="AO143" i="11"/>
  <c r="AC143" i="11"/>
  <c r="K124" i="11"/>
  <c r="K47" i="11"/>
  <c r="K142" i="11" s="1"/>
  <c r="X143" i="11"/>
  <c r="AJ143" i="11"/>
  <c r="D37" i="11"/>
  <c r="D143" i="11" s="1"/>
  <c r="D125" i="11"/>
  <c r="AG143" i="11"/>
  <c r="U143" i="11"/>
  <c r="AN142" i="11"/>
  <c r="AB142" i="11"/>
  <c r="Y142" i="11"/>
  <c r="AK142" i="11"/>
  <c r="K37" i="11"/>
  <c r="K143" i="11" s="1"/>
  <c r="K125" i="11"/>
  <c r="Y143" i="11"/>
  <c r="AK143" i="11"/>
  <c r="Q124" i="11"/>
  <c r="Q47" i="11"/>
  <c r="Q142" i="11" s="1"/>
  <c r="AF142" i="11"/>
  <c r="T142" i="11"/>
  <c r="F124" i="11"/>
  <c r="F47" i="11"/>
  <c r="F142" i="11" s="1"/>
  <c r="F37" i="11"/>
  <c r="F143" i="11" s="1"/>
  <c r="F125" i="11"/>
  <c r="D124" i="11"/>
  <c r="D47" i="11"/>
  <c r="D142" i="11" s="1"/>
  <c r="AA142" i="11"/>
  <c r="AM142" i="11"/>
  <c r="AI142" i="11"/>
  <c r="W142" i="11"/>
  <c r="AI143" i="11"/>
  <c r="W143" i="11"/>
  <c r="AQ143" i="11"/>
  <c r="AE143" i="11"/>
  <c r="AN143" i="11"/>
  <c r="AB143" i="11"/>
  <c r="AH143" i="11"/>
  <c r="V143" i="11"/>
  <c r="H37" i="11"/>
  <c r="H143" i="11" s="1"/>
  <c r="H125" i="11"/>
  <c r="AA143" i="11"/>
  <c r="AM143" i="11"/>
  <c r="N37" i="11"/>
  <c r="N143" i="11" s="1"/>
  <c r="N125" i="11"/>
  <c r="AH142" i="11"/>
  <c r="V142" i="11"/>
  <c r="X142" i="11"/>
  <c r="AJ142" i="11"/>
  <c r="AO142" i="11"/>
  <c r="AC142" i="11"/>
  <c r="H124" i="11"/>
  <c r="H47" i="11"/>
  <c r="H142" i="11" s="1"/>
  <c r="AQ142" i="11"/>
  <c r="AE142" i="11"/>
  <c r="G37" i="11"/>
  <c r="G143" i="11" s="1"/>
  <c r="G125" i="11"/>
  <c r="AP142" i="11"/>
  <c r="AD142" i="11"/>
  <c r="E124" i="11"/>
  <c r="E47" i="11"/>
  <c r="E142" i="11" s="1"/>
  <c r="N124" i="11"/>
  <c r="N47" i="11"/>
  <c r="N142" i="11" s="1"/>
  <c r="Z143" i="11"/>
  <c r="AL143" i="11"/>
  <c r="AG142" i="11"/>
  <c r="U142" i="11"/>
  <c r="K63" i="11"/>
  <c r="S63" i="11"/>
  <c r="AA63" i="11"/>
  <c r="AI63" i="11"/>
  <c r="AQ63" i="11"/>
  <c r="D63" i="11"/>
  <c r="L63" i="11"/>
  <c r="T63" i="11"/>
  <c r="AB63" i="11"/>
  <c r="AJ63" i="11"/>
  <c r="AE63" i="11"/>
  <c r="E63" i="11"/>
  <c r="M63" i="11"/>
  <c r="U63" i="11"/>
  <c r="AC63" i="11"/>
  <c r="AK63" i="11"/>
  <c r="W63" i="11"/>
  <c r="J63" i="11"/>
  <c r="F63" i="11"/>
  <c r="N63" i="11"/>
  <c r="V63" i="11"/>
  <c r="AD63" i="11"/>
  <c r="AL63" i="11"/>
  <c r="G63" i="11"/>
  <c r="AM63" i="11"/>
  <c r="O63" i="11"/>
  <c r="H63" i="11"/>
  <c r="P63" i="11"/>
  <c r="X63" i="11"/>
  <c r="AF63" i="11"/>
  <c r="AN63" i="11"/>
  <c r="Z63" i="11"/>
  <c r="AP63" i="11"/>
  <c r="I63" i="11"/>
  <c r="Q63" i="11"/>
  <c r="Y63" i="11"/>
  <c r="AG63" i="11"/>
  <c r="AO63" i="11"/>
  <c r="R63" i="11"/>
  <c r="AH63" i="11"/>
  <c r="E40" i="9"/>
  <c r="E47" i="9"/>
  <c r="E46" i="9" s="1"/>
  <c r="E129" i="9"/>
  <c r="E50" i="9"/>
  <c r="E51" i="9" s="1"/>
  <c r="E53" i="9" l="1"/>
  <c r="E54" i="9"/>
  <c r="E144" i="9" s="1"/>
  <c r="E52" i="9" l="1"/>
  <c r="E143" i="9"/>
  <c r="E151" i="9" s="1"/>
  <c r="E57" i="9"/>
  <c r="E56" i="9"/>
  <c r="E130" i="9" s="1"/>
  <c r="E132" i="9" s="1"/>
  <c r="E55" i="9" l="1"/>
  <c r="E131" i="9"/>
  <c r="E133" i="9" s="1"/>
  <c r="E152" i="9" s="1"/>
  <c r="E155" i="9" s="1"/>
  <c r="E156" i="9" s="1"/>
  <c r="F44" i="9" l="1"/>
  <c r="F43" i="9" l="1"/>
  <c r="F49" i="9" s="1"/>
  <c r="F42" i="9"/>
  <c r="F41" i="9" l="1"/>
  <c r="F129" i="9" s="1"/>
  <c r="F47" i="9" l="1"/>
  <c r="F40" i="9"/>
  <c r="F50" i="9"/>
  <c r="F51" i="9" s="1"/>
  <c r="F46" i="9"/>
  <c r="F53" i="9" l="1"/>
  <c r="F56" i="9" s="1"/>
  <c r="F54" i="9"/>
  <c r="F143" i="9" l="1"/>
  <c r="F52" i="9"/>
  <c r="F57" i="9"/>
  <c r="F144" i="9"/>
  <c r="F130" i="9"/>
  <c r="C64" i="11" s="1"/>
  <c r="F151" i="9" l="1"/>
  <c r="L64" i="11"/>
  <c r="T64" i="11"/>
  <c r="AB64" i="11"/>
  <c r="AJ64" i="11"/>
  <c r="G64" i="11"/>
  <c r="D64" i="11"/>
  <c r="M64" i="11"/>
  <c r="U64" i="11"/>
  <c r="AC64" i="11"/>
  <c r="AK64" i="11"/>
  <c r="E64" i="11"/>
  <c r="N64" i="11"/>
  <c r="V64" i="11"/>
  <c r="AD64" i="11"/>
  <c r="AL64" i="11"/>
  <c r="X64" i="11"/>
  <c r="F64" i="11"/>
  <c r="O64" i="11"/>
  <c r="W64" i="11"/>
  <c r="AE64" i="11"/>
  <c r="AM64" i="11"/>
  <c r="AF64" i="11"/>
  <c r="P64" i="11"/>
  <c r="AN64" i="11"/>
  <c r="H64" i="11"/>
  <c r="Q64" i="11"/>
  <c r="Y64" i="11"/>
  <c r="AG64" i="11"/>
  <c r="AO64" i="11"/>
  <c r="S64" i="11"/>
  <c r="AI64" i="11"/>
  <c r="I64" i="11"/>
  <c r="R64" i="11"/>
  <c r="Z64" i="11"/>
  <c r="AH64" i="11"/>
  <c r="AP64" i="11"/>
  <c r="K64" i="11"/>
  <c r="AA64" i="11"/>
  <c r="AQ64" i="11"/>
  <c r="J64" i="11"/>
  <c r="F131" i="9"/>
  <c r="F55" i="9"/>
  <c r="F132" i="9"/>
  <c r="C81" i="11" s="1"/>
  <c r="S81" i="11" l="1"/>
  <c r="P81" i="11"/>
  <c r="J81" i="11"/>
  <c r="I81" i="11"/>
  <c r="O81" i="11"/>
  <c r="M81" i="11"/>
  <c r="R81" i="11"/>
  <c r="AQ81" i="11"/>
  <c r="L81" i="11"/>
  <c r="AF81" i="11"/>
  <c r="X81" i="11"/>
  <c r="E81" i="11"/>
  <c r="AH81" i="11"/>
  <c r="V81" i="11"/>
  <c r="F81" i="11"/>
  <c r="AJ81" i="11"/>
  <c r="AA81" i="11"/>
  <c r="Q81" i="11"/>
  <c r="H81" i="11"/>
  <c r="AG81" i="11"/>
  <c r="Y81" i="11"/>
  <c r="AC81" i="11"/>
  <c r="AB81" i="11"/>
  <c r="AM81" i="11"/>
  <c r="K81" i="11"/>
  <c r="N81" i="11"/>
  <c r="AE81" i="11"/>
  <c r="Z81" i="11"/>
  <c r="AK81" i="11"/>
  <c r="AI81" i="11"/>
  <c r="AD81" i="11"/>
  <c r="T81" i="11"/>
  <c r="D81" i="11"/>
  <c r="U81" i="11"/>
  <c r="AN81" i="11"/>
  <c r="W81" i="11"/>
  <c r="AO81" i="11"/>
  <c r="AP81" i="11"/>
  <c r="AL81" i="11"/>
  <c r="G81" i="11"/>
  <c r="C65" i="11"/>
  <c r="F133" i="9"/>
  <c r="C82" i="11" l="1"/>
  <c r="S82" i="11"/>
  <c r="I82" i="11"/>
  <c r="J82" i="11"/>
  <c r="O82" i="11"/>
  <c r="M82" i="11"/>
  <c r="P82" i="11"/>
  <c r="R82" i="11"/>
  <c r="V82" i="11"/>
  <c r="F82" i="11"/>
  <c r="AJ82" i="11"/>
  <c r="AQ82" i="11"/>
  <c r="L82" i="11"/>
  <c r="X82" i="11"/>
  <c r="E82" i="11"/>
  <c r="AH82" i="11"/>
  <c r="T82" i="11"/>
  <c r="AN82" i="11"/>
  <c r="H82" i="11"/>
  <c r="Q82" i="11"/>
  <c r="AB82" i="11"/>
  <c r="AF82" i="11"/>
  <c r="AI82" i="11"/>
  <c r="D82" i="11"/>
  <c r="W82" i="11"/>
  <c r="AM82" i="11"/>
  <c r="Z82" i="11"/>
  <c r="AA82" i="11"/>
  <c r="N82" i="11"/>
  <c r="AK82" i="11"/>
  <c r="AD82" i="11"/>
  <c r="U82" i="11"/>
  <c r="AG82" i="11"/>
  <c r="Y82" i="11"/>
  <c r="AP82" i="11"/>
  <c r="AL82" i="11"/>
  <c r="AO82" i="11"/>
  <c r="AE82" i="11"/>
  <c r="K82" i="11"/>
  <c r="G82" i="11"/>
  <c r="AC82" i="11"/>
  <c r="D65" i="11"/>
  <c r="M65" i="11"/>
  <c r="U65" i="11"/>
  <c r="AC65" i="11"/>
  <c r="AK65" i="11"/>
  <c r="Q65" i="11"/>
  <c r="E65" i="11"/>
  <c r="N65" i="11"/>
  <c r="V65" i="11"/>
  <c r="AD65" i="11"/>
  <c r="AL65" i="11"/>
  <c r="H65" i="11"/>
  <c r="F65" i="11"/>
  <c r="O65" i="11"/>
  <c r="W65" i="11"/>
  <c r="AE65" i="11"/>
  <c r="AM65" i="11"/>
  <c r="P65" i="11"/>
  <c r="AF65" i="11"/>
  <c r="Y65" i="11"/>
  <c r="G65" i="11"/>
  <c r="X65" i="11"/>
  <c r="AN65" i="11"/>
  <c r="AO65" i="11"/>
  <c r="AG65" i="11"/>
  <c r="I65" i="11"/>
  <c r="R65" i="11"/>
  <c r="Z65" i="11"/>
  <c r="AH65" i="11"/>
  <c r="AP65" i="11"/>
  <c r="L65" i="11"/>
  <c r="AB65" i="11"/>
  <c r="K65" i="11"/>
  <c r="S65" i="11"/>
  <c r="AA65" i="11"/>
  <c r="AI65" i="11"/>
  <c r="AQ65" i="11"/>
  <c r="T65" i="11"/>
  <c r="AJ65" i="11"/>
  <c r="J65" i="11"/>
  <c r="C62" i="11" l="1"/>
  <c r="K62" i="11" l="1"/>
  <c r="S62" i="11"/>
  <c r="AA62" i="11"/>
  <c r="AI62" i="11"/>
  <c r="AQ62" i="11"/>
  <c r="G62" i="11"/>
  <c r="AH62" i="11"/>
  <c r="D62" i="11"/>
  <c r="L62" i="11"/>
  <c r="T62" i="11"/>
  <c r="AB62" i="11"/>
  <c r="AJ62" i="11"/>
  <c r="J62" i="11"/>
  <c r="E62" i="11"/>
  <c r="M62" i="11"/>
  <c r="U62" i="11"/>
  <c r="AC62" i="11"/>
  <c r="AK62" i="11"/>
  <c r="F62" i="11"/>
  <c r="N62" i="11"/>
  <c r="V62" i="11"/>
  <c r="AD62" i="11"/>
  <c r="AL62" i="11"/>
  <c r="O62" i="11"/>
  <c r="R62" i="11"/>
  <c r="W62" i="11"/>
  <c r="AE62" i="11"/>
  <c r="AM62" i="11"/>
  <c r="Z62" i="11"/>
  <c r="H62" i="11"/>
  <c r="P62" i="11"/>
  <c r="X62" i="11"/>
  <c r="AF62" i="11"/>
  <c r="AN62" i="11"/>
  <c r="AP62" i="11"/>
  <c r="I62" i="11"/>
  <c r="Q62" i="11"/>
  <c r="Y62" i="11"/>
  <c r="AG62" i="11"/>
  <c r="AO62" i="11"/>
  <c r="F122" i="9"/>
  <c r="F127" i="9"/>
  <c r="C79" i="11" l="1"/>
  <c r="F152" i="9"/>
  <c r="C74" i="11"/>
  <c r="Y74" i="11" s="1"/>
  <c r="F153" i="9"/>
  <c r="F154" i="9"/>
  <c r="I79" i="11"/>
  <c r="O79" i="11"/>
  <c r="J79" i="11"/>
  <c r="M79" i="11"/>
  <c r="S79" i="11"/>
  <c r="P79" i="11"/>
  <c r="AK79" i="11"/>
  <c r="V79" i="11"/>
  <c r="AN79" i="11"/>
  <c r="AI79" i="11"/>
  <c r="Y79" i="11"/>
  <c r="D79" i="11"/>
  <c r="AF79" i="11"/>
  <c r="AO79" i="11"/>
  <c r="AQ79" i="11"/>
  <c r="U79" i="11"/>
  <c r="AL79" i="11"/>
  <c r="Z79" i="11"/>
  <c r="AC79" i="11"/>
  <c r="G79" i="11"/>
  <c r="K79" i="11"/>
  <c r="W79" i="11"/>
  <c r="X79" i="11"/>
  <c r="AE79" i="11"/>
  <c r="T79" i="11"/>
  <c r="AA79" i="11"/>
  <c r="AJ79" i="11"/>
  <c r="AM79" i="11"/>
  <c r="R79" i="11"/>
  <c r="E79" i="11"/>
  <c r="AB79" i="11"/>
  <c r="H79" i="11"/>
  <c r="F79" i="11"/>
  <c r="AD79" i="11"/>
  <c r="AG79" i="11"/>
  <c r="AP79" i="11"/>
  <c r="AH79" i="11"/>
  <c r="L79" i="11"/>
  <c r="N79" i="11"/>
  <c r="Q79" i="11"/>
  <c r="U74" i="11"/>
  <c r="L74" i="11"/>
  <c r="AP74" i="11"/>
  <c r="AD74" i="11"/>
  <c r="AA74" i="11"/>
  <c r="J74" i="11"/>
  <c r="AN74" i="11"/>
  <c r="AK74" i="11"/>
  <c r="D74" i="11"/>
  <c r="AH74" i="11"/>
  <c r="Q74" i="11"/>
  <c r="G74" i="11"/>
  <c r="V74" i="11"/>
  <c r="AC74" i="11"/>
  <c r="E74" i="11"/>
  <c r="AQ74" i="11"/>
  <c r="Z74" i="11"/>
  <c r="I74" i="11"/>
  <c r="N74" i="11"/>
  <c r="AG74" i="11"/>
  <c r="AO74" i="11"/>
  <c r="AE74" i="11"/>
  <c r="F74" i="11"/>
  <c r="AL74" i="11"/>
  <c r="AJ74" i="11"/>
  <c r="S74" i="11"/>
  <c r="AB74" i="11"/>
  <c r="K74" i="11"/>
  <c r="X74" i="11"/>
  <c r="F86" i="9"/>
  <c r="F87" i="9" s="1"/>
  <c r="F155" i="9" l="1"/>
  <c r="F156" i="9" s="1"/>
  <c r="O74" i="11"/>
  <c r="AM74" i="11"/>
  <c r="R74" i="11"/>
  <c r="W74" i="11"/>
  <c r="M74" i="11"/>
  <c r="H74" i="11"/>
  <c r="AF74" i="11"/>
  <c r="AI74" i="11"/>
  <c r="T74" i="11"/>
  <c r="P74" i="11"/>
  <c r="H122" i="9" l="1"/>
  <c r="C110" i="11" s="1"/>
  <c r="G110" i="11" l="1"/>
  <c r="D110" i="11"/>
  <c r="AC110" i="11"/>
  <c r="AM110" i="11"/>
  <c r="AI110" i="11"/>
  <c r="M110" i="11"/>
  <c r="AG110" i="11"/>
  <c r="X110" i="11"/>
  <c r="T110" i="11"/>
  <c r="J110" i="11"/>
  <c r="P110" i="11"/>
  <c r="L110" i="11"/>
  <c r="AP110" i="11"/>
  <c r="AL110" i="11"/>
  <c r="E110" i="11"/>
  <c r="AA110" i="11"/>
  <c r="AB110" i="11"/>
  <c r="H110" i="11"/>
  <c r="R110" i="11"/>
  <c r="U110" i="11"/>
  <c r="Y110" i="11"/>
  <c r="S110" i="11"/>
  <c r="AJ110" i="11"/>
  <c r="AO110" i="11"/>
  <c r="N110" i="11"/>
  <c r="AD110" i="11"/>
  <c r="AQ110" i="11"/>
  <c r="W110" i="11"/>
  <c r="O110" i="11"/>
  <c r="AF110" i="11"/>
  <c r="I110" i="11"/>
  <c r="F110" i="11"/>
  <c r="AK110" i="11"/>
  <c r="Q110" i="11"/>
  <c r="AE110" i="11"/>
  <c r="AH110" i="11"/>
  <c r="K110" i="11"/>
  <c r="AN110" i="11"/>
  <c r="Z110" i="11"/>
  <c r="V110" i="11"/>
  <c r="H153" i="9"/>
  <c r="H127" i="9"/>
  <c r="H154" i="9"/>
  <c r="H152" i="9" l="1"/>
  <c r="H155" i="9" s="1"/>
  <c r="H156" i="9" s="1"/>
  <c r="H86" i="9"/>
  <c r="H87" i="9" s="1"/>
  <c r="C115" i="11"/>
  <c r="V115" i="11" l="1"/>
  <c r="G115" i="11"/>
  <c r="AN115" i="11"/>
  <c r="X115" i="11"/>
  <c r="M115" i="11"/>
  <c r="AQ115" i="11"/>
  <c r="Z115" i="11"/>
  <c r="AM115" i="11"/>
  <c r="L115" i="11"/>
  <c r="O115" i="11"/>
  <c r="W115" i="11"/>
  <c r="T115" i="11"/>
  <c r="N115" i="11"/>
  <c r="U115" i="11"/>
  <c r="K115" i="11"/>
  <c r="AE115" i="11"/>
  <c r="S115" i="11"/>
  <c r="J115" i="11"/>
  <c r="R115" i="11"/>
  <c r="E115" i="11"/>
  <c r="AL115" i="11"/>
  <c r="AC115" i="11"/>
  <c r="I115" i="11"/>
  <c r="AO115" i="11"/>
  <c r="D115" i="11"/>
  <c r="AG115" i="11"/>
  <c r="AH115" i="11"/>
  <c r="AK115" i="11"/>
  <c r="AF115" i="11"/>
  <c r="AI115" i="11"/>
  <c r="P115" i="11"/>
  <c r="H115" i="11"/>
  <c r="AD115" i="11"/>
  <c r="F115" i="11"/>
  <c r="AA115" i="11"/>
  <c r="AJ115" i="11"/>
  <c r="AB115" i="11"/>
  <c r="Q115" i="11"/>
  <c r="AP115" i="11"/>
  <c r="Y115" i="11"/>
  <c r="I122" i="9"/>
  <c r="I154" i="9" s="1"/>
  <c r="I127" i="9" l="1"/>
  <c r="I152" i="9" s="1"/>
  <c r="C128" i="11"/>
  <c r="C133" i="11"/>
  <c r="I153" i="9"/>
  <c r="I155" i="9" s="1"/>
  <c r="I156" i="9" s="1"/>
  <c r="I86" i="9"/>
  <c r="I87" i="9" s="1"/>
  <c r="AP133" i="11" l="1"/>
  <c r="AL133" i="11"/>
  <c r="H133" i="11"/>
  <c r="G133" i="11"/>
  <c r="AA133" i="11"/>
  <c r="AE133" i="11"/>
  <c r="AG133" i="11"/>
  <c r="P133" i="11"/>
  <c r="AN133" i="11"/>
  <c r="F133" i="11"/>
  <c r="R133" i="11"/>
  <c r="AI133" i="11"/>
  <c r="AH133" i="11"/>
  <c r="D133" i="11"/>
  <c r="AC133" i="11"/>
  <c r="AD133" i="11"/>
  <c r="L133" i="11"/>
  <c r="AF133" i="11"/>
  <c r="E133" i="11"/>
  <c r="AO133" i="11"/>
  <c r="AM133" i="11"/>
  <c r="Q133" i="11"/>
  <c r="AK133" i="11"/>
  <c r="AB133" i="11"/>
  <c r="W133" i="11"/>
  <c r="M133" i="11"/>
  <c r="AQ133" i="11"/>
  <c r="N133" i="11"/>
  <c r="O133" i="11"/>
  <c r="X133" i="11"/>
  <c r="Y133" i="11"/>
  <c r="V133" i="11"/>
  <c r="T133" i="11"/>
  <c r="Z133" i="11"/>
  <c r="I133" i="11"/>
  <c r="U133" i="11"/>
  <c r="AJ133" i="11"/>
  <c r="J133" i="11"/>
  <c r="S133" i="11"/>
  <c r="K133" i="11"/>
  <c r="D128" i="11"/>
  <c r="X128" i="11"/>
  <c r="AL128" i="11"/>
  <c r="O128" i="11"/>
  <c r="U128" i="11"/>
  <c r="AN128" i="11"/>
  <c r="V128" i="11"/>
  <c r="R128" i="11"/>
  <c r="W128" i="11"/>
  <c r="AD128" i="11"/>
  <c r="Y128" i="11"/>
  <c r="AF128" i="11"/>
  <c r="AJ128" i="11"/>
  <c r="N128" i="11"/>
  <c r="M128" i="11"/>
  <c r="AO128" i="11"/>
  <c r="AA128" i="11"/>
  <c r="P128" i="11"/>
  <c r="L128" i="11"/>
  <c r="T128" i="11"/>
  <c r="I128" i="11"/>
  <c r="AI128" i="11"/>
  <c r="AP128" i="11"/>
  <c r="J128" i="11"/>
  <c r="S128" i="11"/>
  <c r="F128" i="11"/>
  <c r="AG128" i="11"/>
  <c r="AM128" i="11"/>
  <c r="AH128" i="11"/>
  <c r="AQ128" i="11"/>
  <c r="AB128" i="11"/>
  <c r="G128" i="11"/>
  <c r="Z128" i="11"/>
  <c r="Q128" i="11"/>
  <c r="AC128" i="11"/>
  <c r="K128" i="11"/>
  <c r="AE128" i="11"/>
  <c r="E128" i="11"/>
  <c r="AK128" i="11"/>
  <c r="H128" i="11"/>
  <c r="J122" i="9"/>
  <c r="J153" i="9" s="1"/>
  <c r="J154" i="9"/>
  <c r="J127" i="9" l="1"/>
  <c r="C146" i="11"/>
  <c r="J152" i="9"/>
  <c r="J155" i="9" s="1"/>
  <c r="J156" i="9" s="1"/>
  <c r="J86" i="9" l="1"/>
  <c r="J87" i="9" s="1"/>
  <c r="C151" i="11"/>
  <c r="AL146" i="11"/>
  <c r="AA146" i="11"/>
  <c r="AH146" i="11"/>
  <c r="N146" i="11"/>
  <c r="O146" i="11"/>
  <c r="K146" i="11"/>
  <c r="J146" i="11"/>
  <c r="D146" i="11"/>
  <c r="Z146" i="11"/>
  <c r="L146" i="11"/>
  <c r="P146" i="11"/>
  <c r="AK146" i="11"/>
  <c r="W146" i="11"/>
  <c r="AO146" i="11"/>
  <c r="M146" i="11"/>
  <c r="AC146" i="11"/>
  <c r="Y146" i="11"/>
  <c r="AG146" i="11"/>
  <c r="AN146" i="11"/>
  <c r="AJ146" i="11"/>
  <c r="U146" i="11"/>
  <c r="Q146" i="11"/>
  <c r="R146" i="11"/>
  <c r="AM146" i="11"/>
  <c r="AQ146" i="11"/>
  <c r="AB146" i="11"/>
  <c r="X146" i="11"/>
  <c r="AI146" i="11"/>
  <c r="T146" i="11"/>
  <c r="AP146" i="11"/>
  <c r="F146" i="11"/>
  <c r="E146" i="11"/>
  <c r="I146" i="11"/>
  <c r="G146" i="11"/>
  <c r="AD146" i="11"/>
  <c r="AE146" i="11"/>
  <c r="H146" i="11"/>
  <c r="V146" i="11"/>
  <c r="S146" i="11"/>
  <c r="AF146" i="11"/>
  <c r="AC151" i="11" l="1"/>
  <c r="AO151" i="11"/>
  <c r="AJ151" i="11"/>
  <c r="AI151" i="11"/>
  <c r="M151" i="11"/>
  <c r="AE151" i="11"/>
  <c r="AP151" i="11"/>
  <c r="AM151" i="11"/>
  <c r="V151" i="11"/>
  <c r="K151" i="11"/>
  <c r="AN151" i="11"/>
  <c r="U151" i="11"/>
  <c r="AB151" i="11"/>
  <c r="R151" i="11"/>
  <c r="Q151" i="11"/>
  <c r="L151" i="11"/>
  <c r="D151" i="11"/>
  <c r="AL151" i="11"/>
  <c r="I151" i="11"/>
  <c r="AH151" i="11"/>
  <c r="S151" i="11"/>
  <c r="H151" i="11"/>
  <c r="X151" i="11"/>
  <c r="G151" i="11"/>
  <c r="AK151" i="11"/>
  <c r="J151" i="11"/>
  <c r="AQ151" i="11"/>
  <c r="AA151" i="11"/>
  <c r="O151" i="11"/>
  <c r="T151" i="11"/>
  <c r="AD151" i="11"/>
  <c r="AF151" i="11"/>
  <c r="P151" i="11"/>
  <c r="Z151" i="11"/>
  <c r="Y151" i="11"/>
  <c r="W151" i="11"/>
  <c r="AG151" i="11"/>
  <c r="N151" i="11"/>
  <c r="F151" i="11"/>
  <c r="E151" i="11"/>
  <c r="G122" i="9" l="1"/>
  <c r="G127" i="9" s="1"/>
  <c r="G86" i="9" l="1"/>
  <c r="G87" i="9" s="1"/>
  <c r="G152" i="9"/>
  <c r="C97" i="11"/>
  <c r="C92" i="11"/>
  <c r="G153" i="9"/>
  <c r="G154" i="9"/>
  <c r="U92" i="11" l="1"/>
  <c r="I92" i="11"/>
  <c r="AN92" i="11"/>
  <c r="AB92" i="11"/>
  <c r="AC92" i="11"/>
  <c r="L92" i="11"/>
  <c r="AI92" i="11"/>
  <c r="O92" i="11"/>
  <c r="Q92" i="11"/>
  <c r="AM92" i="11"/>
  <c r="R92" i="11"/>
  <c r="AK92" i="11"/>
  <c r="AP92" i="11"/>
  <c r="AE92" i="11"/>
  <c r="Z92" i="11"/>
  <c r="M92" i="11"/>
  <c r="S92" i="11"/>
  <c r="AO92" i="11"/>
  <c r="Y92" i="11"/>
  <c r="AG92" i="11"/>
  <c r="D92" i="11"/>
  <c r="J92" i="11"/>
  <c r="H92" i="11"/>
  <c r="V92" i="11"/>
  <c r="W92" i="11"/>
  <c r="AL92" i="11"/>
  <c r="X92" i="11"/>
  <c r="AF92" i="11"/>
  <c r="E92" i="11"/>
  <c r="F92" i="11"/>
  <c r="AH92" i="11"/>
  <c r="AJ92" i="11"/>
  <c r="P92" i="11"/>
  <c r="K92" i="11"/>
  <c r="G92" i="11"/>
  <c r="AA92" i="11"/>
  <c r="T92" i="11"/>
  <c r="N92" i="11"/>
  <c r="AQ92" i="11"/>
  <c r="AD92" i="11"/>
  <c r="Q97" i="11"/>
  <c r="X97" i="11"/>
  <c r="U97" i="11"/>
  <c r="Z97" i="11"/>
  <c r="F97" i="11"/>
  <c r="AM97" i="11"/>
  <c r="AD97" i="11"/>
  <c r="K97" i="11"/>
  <c r="D97" i="11"/>
  <c r="AB97" i="11"/>
  <c r="AQ97" i="11"/>
  <c r="AK97" i="11"/>
  <c r="W97" i="11"/>
  <c r="AH97" i="11"/>
  <c r="O97" i="11"/>
  <c r="S97" i="11"/>
  <c r="G97" i="11"/>
  <c r="AE97" i="11"/>
  <c r="AP97" i="11"/>
  <c r="H97" i="11"/>
  <c r="J97" i="11"/>
  <c r="V97" i="11"/>
  <c r="Y97" i="11"/>
  <c r="AJ97" i="11"/>
  <c r="E97" i="11"/>
  <c r="P97" i="11"/>
  <c r="R97" i="11"/>
  <c r="AN97" i="11"/>
  <c r="AC97" i="11"/>
  <c r="L97" i="11"/>
  <c r="M97" i="11"/>
  <c r="AF97" i="11"/>
  <c r="T97" i="11"/>
  <c r="AI97" i="11"/>
  <c r="N97" i="11"/>
  <c r="AA97" i="11"/>
  <c r="AG97" i="11"/>
  <c r="AO97" i="11"/>
  <c r="I97" i="11"/>
  <c r="AL97" i="11"/>
  <c r="G155" i="9"/>
  <c r="G156" i="9" s="1"/>
</calcChain>
</file>

<file path=xl/sharedStrings.xml><?xml version="1.0" encoding="utf-8"?>
<sst xmlns="http://schemas.openxmlformats.org/spreadsheetml/2006/main" count="897" uniqueCount="201">
  <si>
    <t>%</t>
  </si>
  <si>
    <t>TEUR</t>
  </si>
  <si>
    <t>EUR/MWh</t>
  </si>
  <si>
    <t>Tariff year</t>
  </si>
  <si>
    <t>M</t>
  </si>
  <si>
    <t>Iš viso</t>
  </si>
  <si>
    <t>Įleidimo</t>
  </si>
  <si>
    <t>Išleidimo</t>
  </si>
  <si>
    <t>Pajėgumai</t>
  </si>
  <si>
    <t>Kiekis</t>
  </si>
  <si>
    <t>Kaip reikalaujama pagal TAR NC 15 straipsnį</t>
  </si>
  <si>
    <r>
      <t xml:space="preserve">1 žingsnis:
Straipsnis 15(3)(a), (b): </t>
    </r>
    <r>
      <rPr>
        <i/>
        <sz val="10"/>
        <color theme="1"/>
        <rFont val="Calibri"/>
        <family val="2"/>
        <charset val="186"/>
        <scheme val="minor"/>
      </rPr>
      <t>"a) perdavimo sistemos naudojimas kiekvieną gamtinių dujų tiekimo metų mėnesį turi būti apskaičiuojamas pagal prognozuojamus srautus arba prognozuojamą užsakytą pajėgumą&lt;...&gt;", "b) a punkte nurodytos gautos vertės turi būti sudedamos;"</t>
    </r>
  </si>
  <si>
    <t>Prognozuojami srautai kiekvieną dujų mėnesį</t>
  </si>
  <si>
    <t>Sau</t>
  </si>
  <si>
    <t>Vas</t>
  </si>
  <si>
    <t>Kov</t>
  </si>
  <si>
    <t>Bal</t>
  </si>
  <si>
    <t>Geg</t>
  </si>
  <si>
    <t>Bir</t>
  </si>
  <si>
    <t>Lie</t>
  </si>
  <si>
    <t>Rgp</t>
  </si>
  <si>
    <t>Rgs</t>
  </si>
  <si>
    <t>Spl</t>
  </si>
  <si>
    <t>Lap</t>
  </si>
  <si>
    <t>Grd</t>
  </si>
  <si>
    <r>
      <t xml:space="preserve">2 žingsnis: 
Straipsnis 15(3)(c): </t>
    </r>
    <r>
      <rPr>
        <i/>
        <sz val="10"/>
        <color theme="1"/>
        <rFont val="Calibri"/>
        <family val="2"/>
        <charset val="186"/>
        <scheme val="minor"/>
      </rPr>
      <t>"c) naudojimo rodiklis turi būti apskaičiuojamas kiekvieną a punkte nurodytą vertę padalijant iš b punkte nurodytos gautos vertės;"</t>
    </r>
  </si>
  <si>
    <t>Dujų mėnesiai</t>
  </si>
  <si>
    <t>Naudojimo rodiklis:</t>
  </si>
  <si>
    <r>
      <t xml:space="preserve">3 žingsnis: 
Straipsnis 15(3)(d): </t>
    </r>
    <r>
      <rPr>
        <i/>
        <sz val="10"/>
        <color theme="1"/>
        <rFont val="Calibri"/>
        <family val="2"/>
        <charset val="186"/>
        <scheme val="minor"/>
      </rPr>
      <t>"d) kiekviena c punkte nurodyta gauta vertė turi būti padauginama iš 12. Jei gautos vertės yra lygios 0, tos vertės turi būti koreguojamos iki mažesniosios iš šių verčių: 0,1 arba kitos nei 0 mažiausios gautos vertės;"</t>
    </r>
  </si>
  <si>
    <t>Naudojimo rodiklis x 12:</t>
  </si>
  <si>
    <r>
      <t xml:space="preserve">4 žingsnis: 
Straipsnis 15(3)(e): </t>
    </r>
    <r>
      <rPr>
        <i/>
        <sz val="10"/>
        <color theme="1"/>
        <rFont val="Calibri"/>
        <family val="2"/>
        <charset val="186"/>
        <scheme val="minor"/>
      </rPr>
      <t>"e) pradinis atitinkamų sezoninių koeficientų dydis turi būti apskaičiuojamas kiekvieną d punkte nurodytą vertę pakeliant tuo pačiu laipsniu, kuris ne mažesnis už 0 ir ne didesnis už 2;"</t>
    </r>
  </si>
  <si>
    <t>Naudojimo rodiklis x 12 ^ laipsniu (pradinis SK):</t>
  </si>
  <si>
    <t>Laipsnis (0-2)</t>
  </si>
  <si>
    <r>
      <t xml:space="preserve">5 žingsnis: 
Straipsnis 15(3)(f): </t>
    </r>
    <r>
      <rPr>
        <i/>
        <sz val="10"/>
        <color theme="1"/>
        <rFont val="Calibri"/>
        <family val="2"/>
        <charset val="186"/>
        <scheme val="minor"/>
      </rPr>
      <t xml:space="preserve">"f) turi būti apskaičiuojamas e punkte nurodytų gautų verčių ir mėnesio tipinių pajėgumo produktų daugiklio sandaugų aritmetinis vidurkis;"
</t>
    </r>
    <r>
      <rPr>
        <b/>
        <sz val="10"/>
        <color theme="1"/>
        <rFont val="Calibri"/>
        <family val="2"/>
        <charset val="186"/>
        <scheme val="minor"/>
      </rPr>
      <t>Straipsnis 15(4):</t>
    </r>
    <r>
      <rPr>
        <i/>
        <sz val="10"/>
        <color theme="1"/>
        <rFont val="Calibri"/>
        <family val="2"/>
        <charset val="186"/>
        <scheme val="minor"/>
      </rPr>
      <t xml:space="preserve"> "Paros tipinių nuolatinio pajėgumo produktų ir einamosios paros tipinių nuolatinio pajėgumo produktų sezoniniai koeficientai turi būti apskaičiuojami 3 dalies f–h punktuose nustatyta seka, mutatis mutandis."</t>
    </r>
  </si>
  <si>
    <t>Vidurkis</t>
  </si>
  <si>
    <t>Pradinis SK x Mėnesio daugiklis:</t>
  </si>
  <si>
    <t>Pradinis SK x Paros/einamosios paros daugiklis:</t>
  </si>
  <si>
    <t>Mėnesio daugiklis</t>
  </si>
  <si>
    <t>Paros/einamosios paros daugiklis</t>
  </si>
  <si>
    <r>
      <t xml:space="preserve">6 žingsnis: 
Straipsnis 15(3)(g): </t>
    </r>
    <r>
      <rPr>
        <i/>
        <sz val="10"/>
        <color theme="1"/>
        <rFont val="Calibri"/>
        <family val="2"/>
        <charset val="186"/>
        <scheme val="minor"/>
      </rPr>
      <t xml:space="preserve">"g) f punkte nurodyta gauta vertė turi būti palyginama su 13 straipsnio 1 dalyje nurodytu intervalu taip: 
              (i) jei ši vertė patenka į intervalą, sezoninių koeficientų dydis turi būti lygus atitinkamoms e punkte nurodytoms gautoms vertėms;
              (ii) jei ši vertė į intervalą nepatenka, taikomas h punktas;"
</t>
    </r>
    <r>
      <rPr>
        <b/>
        <sz val="10"/>
        <color theme="1"/>
        <rFont val="Calibri"/>
        <family val="2"/>
        <charset val="186"/>
        <scheme val="minor"/>
      </rPr>
      <t xml:space="preserve">Straipsnis 13(1): </t>
    </r>
    <r>
      <rPr>
        <sz val="10"/>
        <color theme="1"/>
        <rFont val="Calibri"/>
        <family val="2"/>
        <charset val="186"/>
        <scheme val="minor"/>
      </rPr>
      <t>"</t>
    </r>
    <r>
      <rPr>
        <i/>
        <sz val="10"/>
        <color theme="1"/>
        <rFont val="Calibri"/>
        <family val="2"/>
        <charset val="186"/>
        <scheme val="minor"/>
      </rPr>
      <t xml:space="preserve">13&lt;..&gt;1. Daugiklių dydžio intervalai šie: 
              (a) ketvirčio tipinių pajėgumo produktų ir mėnesio tipinių pajėgumo produktų atitinkamas daugiklis turi būti ne mažesnis kaip 1 ir ne didesnis kaip 1,5; 
              (b) paros tipinių pajėgumo produktų ir einamosios paros tipinių pajėgumo produktų atitinkamas daugiklis turi būti ne mažesnis kaip 1 ir ne didesnis kaip 3. Tinkamai pagrįstais atvejais nurodyti daugikliai gali būti mažesni kaip 1, bet didesni kaip 0, arba didesni kaip 3.
</t>
    </r>
    <r>
      <rPr>
        <b/>
        <sz val="10"/>
        <color theme="1"/>
        <rFont val="Calibri"/>
        <family val="2"/>
        <charset val="186"/>
        <scheme val="minor"/>
      </rPr>
      <t>Straipsnis 15(3)(h):</t>
    </r>
    <r>
      <rPr>
        <i/>
        <sz val="10"/>
        <color theme="1"/>
        <rFont val="Calibri"/>
        <family val="2"/>
        <charset val="186"/>
        <scheme val="minor"/>
      </rPr>
      <t xml:space="preserve"> "h) sezoninių koeficientų dydis turi būti apskaičiuojamas kaip atitinkamų e punkte nurodytų gautų verčių ir pataisos koeficiento sandauga, laikantis šių sąlygų:
               i) jei f punkte nurodyta gauta vertė yra didesnė kaip 1,5, pataisos koeficientas turi būti apskaičiuojamas 1,5 padalijant iš šios vertės; 
               ii) jei f punkte nurodyta gauta vertė yra mažesnė kaip 1, pataisos koeficientas turi būti apskaičiuojamas 1 padalijant iš šios vertės."</t>
    </r>
  </si>
  <si>
    <t>Mėnesio SK (pradinis SK x pataisos koeficientas):</t>
  </si>
  <si>
    <t>Paros/einam. paros SK (pradinis SF x pataisos koef.):</t>
  </si>
  <si>
    <t>Pataisos koeficientas: Mėnesio</t>
  </si>
  <si>
    <t>Pataisos koeficientas: Paros/einamosios paros</t>
  </si>
  <si>
    <r>
      <t xml:space="preserve">7 žingsnis: 
Straipsnis 15(5): </t>
    </r>
    <r>
      <rPr>
        <i/>
        <sz val="10"/>
        <color theme="1"/>
        <rFont val="Calibri"/>
        <family val="2"/>
        <charset val="186"/>
        <scheme val="minor"/>
      </rPr>
      <t xml:space="preserve">"Ketvirčio tipinių nuolatinio pajėgumo produktų sezoniniai koeficientai turi būti apskaičiuojami šia seka:
              (a) pradinis atitinkamų sezoninių koeficientų dydis turi būti apskaičiuojamas pagal vieną iš šių sąlygų: 
                      (i) koeficientas yra lygus atitinkamų sezoninių koeficientų, taikomų tris susijusius mėnesius, paprastam aritmetiniam vidurkiui; 
                      (ii) koeficientas yra ne mažesnis už mažiausiąjį ir ne didesnis už didžiausiąjį iš atitinkamų sezoninių koeficientų, taikomų tris susijusius mėnesius;
              (b) 3 dalies f–h punktuose nustatyti žingsniai turi būti atlikti naudojant a punkte nurodytas gautas vertes, mutatis mutandis.“
</t>
    </r>
    <r>
      <rPr>
        <b/>
        <sz val="10"/>
        <color theme="1"/>
        <rFont val="Calibri"/>
        <family val="2"/>
        <charset val="186"/>
        <scheme val="minor"/>
      </rPr>
      <t/>
    </r>
  </si>
  <si>
    <t>Dujų ketvirčiai</t>
  </si>
  <si>
    <t>I K</t>
  </si>
  <si>
    <t>II K</t>
  </si>
  <si>
    <t>III K</t>
  </si>
  <si>
    <t>IV K</t>
  </si>
  <si>
    <t>Ketvirčio SK:</t>
  </si>
  <si>
    <r>
      <t xml:space="preserve">8 žingsnis: 
Straipsnis 15(6): </t>
    </r>
    <r>
      <rPr>
        <i/>
        <sz val="10"/>
        <color theme="1"/>
        <rFont val="Calibri"/>
        <family val="2"/>
        <charset val="186"/>
        <scheme val="minor"/>
      </rPr>
      <t xml:space="preserve">"Ne metų tipinių nuolatinio pajėgumo produktų atveju 3–5 dalyse nurodytu skaičiavimu gautos vertės gali būti apvalinamos (didinamos arba mažinamos)."     
</t>
    </r>
    <r>
      <rPr>
        <b/>
        <sz val="10"/>
        <color theme="1"/>
        <rFont val="Calibri"/>
        <family val="2"/>
        <charset val="186"/>
        <scheme val="minor"/>
      </rPr>
      <t/>
    </r>
  </si>
  <si>
    <r>
      <rPr>
        <b/>
        <sz val="10"/>
        <color theme="1"/>
        <rFont val="Calibri"/>
        <family val="2"/>
        <charset val="186"/>
        <scheme val="minor"/>
      </rPr>
      <t xml:space="preserve">Mėnesio SK </t>
    </r>
    <r>
      <rPr>
        <sz val="10"/>
        <color theme="1"/>
        <rFont val="Calibri"/>
        <family val="2"/>
        <charset val="186"/>
        <scheme val="minor"/>
      </rPr>
      <t>(galutiniai - taikytini kainoms):</t>
    </r>
  </si>
  <si>
    <r>
      <rPr>
        <b/>
        <sz val="10"/>
        <color theme="1"/>
        <rFont val="Calibri"/>
        <family val="2"/>
        <charset val="186"/>
        <scheme val="minor"/>
      </rPr>
      <t xml:space="preserve">Paros/einam. paros SK </t>
    </r>
    <r>
      <rPr>
        <sz val="10"/>
        <color theme="1"/>
        <rFont val="Calibri"/>
        <family val="2"/>
        <charset val="186"/>
        <scheme val="minor"/>
      </rPr>
      <t>(galutiniai - taikytini kainoms):</t>
    </r>
  </si>
  <si>
    <r>
      <rPr>
        <b/>
        <sz val="10"/>
        <color theme="1"/>
        <rFont val="Calibri"/>
        <family val="2"/>
        <charset val="186"/>
        <scheme val="minor"/>
      </rPr>
      <t xml:space="preserve">Ketvirčio SK </t>
    </r>
    <r>
      <rPr>
        <sz val="10"/>
        <color theme="1"/>
        <rFont val="Calibri"/>
        <family val="2"/>
        <charset val="186"/>
        <scheme val="minor"/>
      </rPr>
      <t>(galutiniai - taikytini kainoms):</t>
    </r>
  </si>
  <si>
    <t>DAUGIKLIAI, SEZONINIAI KOEFICIENTAI, DIENŲ SKAIČIUS PAGAL PERIODUS:</t>
  </si>
  <si>
    <t>Tarifiniai metai</t>
  </si>
  <si>
    <t>Dienų skaičius metuose</t>
  </si>
  <si>
    <t>Dienų skaičius ketvirtyje (K)</t>
  </si>
  <si>
    <t>Dienų skaičius mėnesyje (M)</t>
  </si>
  <si>
    <r>
      <t>Daugikliai (DG)</t>
    </r>
    <r>
      <rPr>
        <i/>
        <sz val="10"/>
        <color theme="1"/>
        <rFont val="Calibri"/>
        <family val="2"/>
        <charset val="186"/>
        <scheme val="minor"/>
      </rPr>
      <t xml:space="preserve"> (ketvirčio (K), mėnesio (M), paros/einamosios paros (P/EP) pajėgumų produktams)</t>
    </r>
    <r>
      <rPr>
        <b/>
        <sz val="10"/>
        <color theme="1"/>
        <rFont val="Calibri"/>
        <family val="2"/>
        <charset val="186"/>
        <scheme val="minor"/>
      </rPr>
      <t>:</t>
    </r>
  </si>
  <si>
    <t>Visiems įleidimo taškams</t>
  </si>
  <si>
    <t>K</t>
  </si>
  <si>
    <t>P</t>
  </si>
  <si>
    <t>EP</t>
  </si>
  <si>
    <t>P/EP</t>
  </si>
  <si>
    <t>Sezoniniai koeficientai (SK):</t>
  </si>
  <si>
    <t>SK (LT) Vidiniam išleidimo taškui:</t>
  </si>
  <si>
    <t>SK (LT&gt;RU) Šakių išleidimo taškui:</t>
  </si>
  <si>
    <t>Ketvirčio produktams</t>
  </si>
  <si>
    <t>Mėnesio produktams</t>
  </si>
  <si>
    <t>Paros/einamosios paros produktams</t>
  </si>
  <si>
    <t xml:space="preserve"> ne metų trukmės pajėgumų kainos, kaip % dalis nuo referencinės kainos:</t>
  </si>
  <si>
    <t>visiems įleidimo taškams</t>
  </si>
  <si>
    <t>(LT&gt;RU) Šakių išleidimo taškui</t>
  </si>
  <si>
    <r>
      <rPr>
        <sz val="10"/>
        <color theme="1"/>
        <rFont val="Calibri"/>
        <family val="2"/>
        <charset val="186"/>
        <scheme val="minor"/>
      </rPr>
      <t xml:space="preserve">Kainos už </t>
    </r>
    <r>
      <rPr>
        <b/>
        <sz val="10"/>
        <color theme="1"/>
        <rFont val="Calibri"/>
        <family val="2"/>
        <charset val="186"/>
        <scheme val="minor"/>
      </rPr>
      <t>ketvirčio pajėgumus</t>
    </r>
  </si>
  <si>
    <r>
      <rPr>
        <sz val="10"/>
        <color theme="1"/>
        <rFont val="Calibri"/>
        <family val="2"/>
        <charset val="186"/>
        <scheme val="minor"/>
      </rPr>
      <t xml:space="preserve">Kainos už </t>
    </r>
    <r>
      <rPr>
        <b/>
        <sz val="10"/>
        <color theme="1"/>
        <rFont val="Calibri"/>
        <family val="2"/>
        <charset val="186"/>
        <scheme val="minor"/>
      </rPr>
      <t>mėnesio pajėgumus</t>
    </r>
  </si>
  <si>
    <r>
      <rPr>
        <sz val="10"/>
        <color theme="1"/>
        <rFont val="Calibri"/>
        <family val="2"/>
        <charset val="186"/>
        <scheme val="minor"/>
      </rPr>
      <t xml:space="preserve">Kainos už </t>
    </r>
    <r>
      <rPr>
        <b/>
        <sz val="10"/>
        <color theme="1"/>
        <rFont val="Calibri"/>
        <family val="2"/>
        <charset val="186"/>
        <scheme val="minor"/>
      </rPr>
      <t>paros pajėgumus</t>
    </r>
  </si>
  <si>
    <r>
      <rPr>
        <sz val="10"/>
        <color theme="1"/>
        <rFont val="Calibri"/>
        <family val="2"/>
        <charset val="186"/>
        <scheme val="minor"/>
      </rPr>
      <t xml:space="preserve">Kainos už </t>
    </r>
    <r>
      <rPr>
        <b/>
        <sz val="10"/>
        <color theme="1"/>
        <rFont val="Calibri"/>
        <family val="2"/>
        <charset val="186"/>
        <scheme val="minor"/>
      </rPr>
      <t>einamosios paros pajėgumus</t>
    </r>
  </si>
  <si>
    <t>Referen-cinės kainos</t>
  </si>
  <si>
    <t>(BY&gt;LT) Kotlovkos įleidimo taškas</t>
  </si>
  <si>
    <t>(BY&gt;LT) Kotlovkos įleidimo taškas (apribotasis pajėgumų produktas)</t>
  </si>
  <si>
    <t>(LV&gt;LT) Kiemėnų įleidimo taškas</t>
  </si>
  <si>
    <t>(SGDT&gt;LT) Klaipėdos įleidimo taškas</t>
  </si>
  <si>
    <t>(LT&gt;LV) Kiemėnų išleidimo taškas</t>
  </si>
  <si>
    <t>(LT&gt;RU) Šakių išleidimo taškas</t>
  </si>
  <si>
    <t>(LT) Vidinis išleidimo taškas</t>
  </si>
  <si>
    <t>Referencinės kainos (už nuolatinius metų pajėgumų produktus), dujų kiekiu grindžiamos kainos (kainos už kiekį) ir kainos už vartojimo pajėgumus</t>
  </si>
  <si>
    <t xml:space="preserve">     iš jų - Reguliavimo sąskaita</t>
  </si>
  <si>
    <r>
      <t xml:space="preserve">Leidžiamosios pajamos (LP) </t>
    </r>
    <r>
      <rPr>
        <i/>
        <sz val="9"/>
        <color theme="1"/>
        <rFont val="Calibri"/>
        <family val="2"/>
        <charset val="186"/>
        <scheme val="minor"/>
      </rPr>
      <t>(kaip įveretinta 2019/2020/2021 m. kainų skaičiavime)</t>
    </r>
    <r>
      <rPr>
        <sz val="10"/>
        <color theme="1"/>
        <rFont val="Calibri"/>
        <family val="2"/>
        <charset val="186"/>
        <scheme val="minor"/>
      </rPr>
      <t>:</t>
    </r>
  </si>
  <si>
    <r>
      <t>LP priskyrimas paslaugoms iki Reguliavimo sąskaitos įvertinimo</t>
    </r>
    <r>
      <rPr>
        <sz val="10"/>
        <color theme="1"/>
        <rFont val="Calibri"/>
        <family val="2"/>
        <charset val="186"/>
        <scheme val="minor"/>
      </rPr>
      <t>:</t>
    </r>
  </si>
  <si>
    <r>
      <t xml:space="preserve">     iš jų priskirta </t>
    </r>
    <r>
      <rPr>
        <b/>
        <sz val="10"/>
        <color theme="1"/>
        <rFont val="Calibri"/>
        <family val="2"/>
        <charset val="186"/>
        <scheme val="minor"/>
      </rPr>
      <t xml:space="preserve">Pagrindiniam tinklui </t>
    </r>
    <r>
      <rPr>
        <i/>
        <sz val="10"/>
        <color theme="1"/>
        <rFont val="Calibri"/>
        <family val="2"/>
        <charset val="186"/>
        <scheme val="minor"/>
      </rPr>
      <t>(pradinis lygis perdavimo Pagrindiniu tinklu paslaugų referencinėms kainoms nustatyti (už nuolatinius metų pajėgumų produktus))</t>
    </r>
  </si>
  <si>
    <r>
      <t>iš jų priskirta transportavimo į trečiąją šalį paslaugai</t>
    </r>
    <r>
      <rPr>
        <i/>
        <vertAlign val="superscript"/>
        <sz val="10"/>
        <color theme="1"/>
        <rFont val="Calibri"/>
        <family val="2"/>
        <charset val="186"/>
        <scheme val="minor"/>
      </rPr>
      <t xml:space="preserve"> </t>
    </r>
  </si>
  <si>
    <r>
      <t xml:space="preserve">     iš jų priskirta </t>
    </r>
    <r>
      <rPr>
        <b/>
        <sz val="10"/>
        <color theme="1"/>
        <rFont val="Calibri"/>
        <family val="2"/>
        <charset val="186"/>
        <scheme val="minor"/>
      </rPr>
      <t>Lokaliam tinklui</t>
    </r>
  </si>
  <si>
    <t>pajamų už vartojimo pajėgumus dalis Lokalaus tinklo paslaugų pajamose</t>
  </si>
  <si>
    <r>
      <t>SGDT nuolaidos perskirstymas už praėjusius laikotarpius ES išleidimo taškams</t>
    </r>
    <r>
      <rPr>
        <b/>
        <i/>
        <sz val="10"/>
        <color theme="1"/>
        <rFont val="Calibri"/>
        <family val="2"/>
        <charset val="186"/>
        <scheme val="minor"/>
      </rPr>
      <t xml:space="preserve"> </t>
    </r>
    <r>
      <rPr>
        <i/>
        <sz val="10"/>
        <color theme="1"/>
        <rFont val="Calibri"/>
        <family val="2"/>
        <charset val="186"/>
        <scheme val="minor"/>
      </rPr>
      <t>(priskiriam. Pagrindiniam tinklui)</t>
    </r>
  </si>
  <si>
    <r>
      <t xml:space="preserve">LP dalis, </t>
    </r>
    <r>
      <rPr>
        <sz val="10"/>
        <color theme="1"/>
        <rFont val="Calibri"/>
        <family val="2"/>
        <charset val="186"/>
        <scheme val="minor"/>
      </rPr>
      <t xml:space="preserve">priskirtina </t>
    </r>
    <r>
      <rPr>
        <b/>
        <sz val="10"/>
        <color theme="1"/>
        <rFont val="Calibri"/>
        <family val="2"/>
        <charset val="186"/>
        <scheme val="minor"/>
      </rPr>
      <t xml:space="preserve">trumpalaikėms paslaugoms </t>
    </r>
    <r>
      <rPr>
        <i/>
        <sz val="10"/>
        <color theme="1"/>
        <rFont val="Calibri"/>
        <family val="2"/>
        <charset val="186"/>
        <scheme val="minor"/>
      </rPr>
      <t>(nuo 2020 m. LP dalis nėra priskiriamo šioms paslaugoms, nes metų pajėgumų produktų kainos yra skaičiuojamos pagal bendrą metų pajėgumų ekvivalento prognozę):</t>
    </r>
  </si>
  <si>
    <r>
      <t>iš jų priskirta Pagrindiniam tinklui</t>
    </r>
    <r>
      <rPr>
        <i/>
        <vertAlign val="superscript"/>
        <sz val="10"/>
        <color theme="1"/>
        <rFont val="Calibri"/>
        <family val="2"/>
        <charset val="186"/>
        <scheme val="minor"/>
      </rPr>
      <t xml:space="preserve"> </t>
    </r>
  </si>
  <si>
    <r>
      <t>iš jų priskirta Lokaliam tinklui</t>
    </r>
    <r>
      <rPr>
        <i/>
        <vertAlign val="superscript"/>
        <sz val="10"/>
        <color theme="1"/>
        <rFont val="Calibri"/>
        <family val="2"/>
        <charset val="186"/>
        <scheme val="minor"/>
      </rPr>
      <t xml:space="preserve"> </t>
    </r>
  </si>
  <si>
    <r>
      <t>Reguliavimo sąskaitos priskyrimas Pagrindiniam ir Lokaliam tinklams</t>
    </r>
    <r>
      <rPr>
        <sz val="10"/>
        <color theme="1"/>
        <rFont val="Calibri"/>
        <family val="2"/>
        <charset val="186"/>
        <scheme val="minor"/>
      </rPr>
      <t>:</t>
    </r>
  </si>
  <si>
    <t xml:space="preserve">iš jų priskirta Pagrindiniam tinklui </t>
  </si>
  <si>
    <t xml:space="preserve">iš jų priskirta Lokaliam tinklui </t>
  </si>
  <si>
    <r>
      <t>LP priskyrimas paslaugoms po Reguliavimo sąskaitos įvertinimo</t>
    </r>
    <r>
      <rPr>
        <sz val="10"/>
        <color theme="1"/>
        <rFont val="Calibri"/>
        <family val="2"/>
        <charset val="186"/>
        <scheme val="minor"/>
      </rPr>
      <t>:</t>
    </r>
  </si>
  <si>
    <r>
      <t xml:space="preserve">     iš jų priskirta </t>
    </r>
    <r>
      <rPr>
        <b/>
        <sz val="10"/>
        <color theme="1"/>
        <rFont val="Calibri"/>
        <family val="2"/>
        <charset val="186"/>
        <scheme val="minor"/>
      </rPr>
      <t xml:space="preserve">Pagrindiniam tinklui </t>
    </r>
    <r>
      <rPr>
        <i/>
        <sz val="10"/>
        <color theme="1"/>
        <rFont val="Calibri"/>
        <family val="2"/>
        <charset val="186"/>
        <scheme val="minor"/>
      </rPr>
      <t>(lygis perdavimo Pagrindiniu tinklu paslaugų referencinėms kainoms nustatyti (už nuolatinius metų pajėgumų produktus))</t>
    </r>
  </si>
  <si>
    <r>
      <t xml:space="preserve">LP dalis, </t>
    </r>
    <r>
      <rPr>
        <sz val="10"/>
        <color theme="1"/>
        <rFont val="Calibri"/>
        <family val="2"/>
        <charset val="186"/>
        <scheme val="minor"/>
      </rPr>
      <t xml:space="preserve">priskitina </t>
    </r>
    <r>
      <rPr>
        <b/>
        <sz val="10"/>
        <color theme="1"/>
        <rFont val="Calibri"/>
        <family val="2"/>
        <charset val="186"/>
        <scheme val="minor"/>
      </rPr>
      <t>perdavimo Pagrindiniu tinklu paslaugų referencinėms kainoms (už nuolatinius metų pajėgumus), perdavimo Lokaliu tinklu ilgalaikių paslaugų kainoms ir kainoms už kiekį skaičiuoti</t>
    </r>
    <r>
      <rPr>
        <sz val="10"/>
        <color theme="1"/>
        <rFont val="Calibri"/>
        <family val="2"/>
        <charset val="186"/>
        <scheme val="minor"/>
      </rPr>
      <t>:</t>
    </r>
  </si>
  <si>
    <r>
      <t xml:space="preserve">LP dalis, </t>
    </r>
    <r>
      <rPr>
        <sz val="10"/>
        <color theme="1"/>
        <rFont val="Calibri"/>
        <family val="2"/>
        <charset val="238"/>
        <scheme val="minor"/>
      </rPr>
      <t xml:space="preserve">priskirtina </t>
    </r>
    <r>
      <rPr>
        <b/>
        <sz val="10"/>
        <color theme="1"/>
        <rFont val="Calibri"/>
        <family val="2"/>
        <charset val="238"/>
        <scheme val="minor"/>
      </rPr>
      <t>Pagrindinio tinklo paslaugoms (iki Reguliavimo sąskaitos įvertinimo)</t>
    </r>
    <r>
      <rPr>
        <sz val="10"/>
        <color theme="1"/>
        <rFont val="Calibri"/>
        <family val="2"/>
        <charset val="238"/>
        <scheme val="minor"/>
      </rPr>
      <t>:</t>
    </r>
  </si>
  <si>
    <t xml:space="preserve">iš jų priskirta dujų perdavimo ES poreikiams Pagrindiniu tinklu paslaugai </t>
  </si>
  <si>
    <r>
      <t>iš jų priskirta transportavimo į trečiąją šalį paslaugai už pajėgumu grindžiamas kainas</t>
    </r>
    <r>
      <rPr>
        <i/>
        <vertAlign val="superscript"/>
        <sz val="10"/>
        <color theme="1"/>
        <rFont val="Calibri"/>
        <family val="2"/>
        <charset val="186"/>
        <scheme val="minor"/>
      </rPr>
      <t xml:space="preserve"> </t>
    </r>
  </si>
  <si>
    <t xml:space="preserve">iš jų priskirta dujų perdavimo ES poreikiams Pagrindiniu tinklu paslaugai už pajėgumu grindžiamas kainas </t>
  </si>
  <si>
    <r>
      <t>iš jų priskirta transportavimo į trečiąją šalį paslaugai už kiekiu grindžiamas kainas</t>
    </r>
    <r>
      <rPr>
        <i/>
        <vertAlign val="superscript"/>
        <sz val="10"/>
        <color theme="1"/>
        <rFont val="Calibri"/>
        <family val="2"/>
        <charset val="186"/>
        <scheme val="minor"/>
      </rPr>
      <t xml:space="preserve"> </t>
    </r>
  </si>
  <si>
    <t xml:space="preserve">iš jų priskirta dujų perdavimo ES poreikiams Pagrindiniu tinklu paslaugai už kiekiu grindžiamas kainas </t>
  </si>
  <si>
    <r>
      <t xml:space="preserve">Įleidimo / išleidimo pajamų proporcija </t>
    </r>
    <r>
      <rPr>
        <sz val="10"/>
        <color theme="1"/>
        <rFont val="Calibri"/>
        <family val="2"/>
        <charset val="186"/>
        <scheme val="minor"/>
      </rPr>
      <t xml:space="preserve">(angl. </t>
    </r>
    <r>
      <rPr>
        <i/>
        <sz val="10"/>
        <color theme="1"/>
        <rFont val="Calibri"/>
        <family val="2"/>
        <charset val="186"/>
        <scheme val="minor"/>
      </rPr>
      <t>Entry/Exit split</t>
    </r>
    <r>
      <rPr>
        <sz val="10"/>
        <color theme="1"/>
        <rFont val="Calibri"/>
        <family val="2"/>
        <charset val="186"/>
        <scheme val="minor"/>
      </rPr>
      <t>) (pradinė/kaip įvesties parametras)</t>
    </r>
  </si>
  <si>
    <r>
      <t xml:space="preserve">Pajėgumų / kiekio pajamų proporcija </t>
    </r>
    <r>
      <rPr>
        <sz val="10"/>
        <color theme="1"/>
        <rFont val="Calibri"/>
        <family val="2"/>
        <charset val="186"/>
        <scheme val="minor"/>
      </rPr>
      <t xml:space="preserve">(angl. </t>
    </r>
    <r>
      <rPr>
        <i/>
        <sz val="10"/>
        <color theme="1"/>
        <rFont val="Calibri"/>
        <family val="2"/>
        <charset val="186"/>
        <scheme val="minor"/>
      </rPr>
      <t>Capacity/commodity split</t>
    </r>
    <r>
      <rPr>
        <sz val="10"/>
        <color theme="1"/>
        <rFont val="Calibri"/>
        <family val="2"/>
        <charset val="186"/>
        <scheme val="minor"/>
      </rPr>
      <t>)</t>
    </r>
    <r>
      <rPr>
        <b/>
        <sz val="10"/>
        <color theme="1"/>
        <rFont val="Calibri"/>
        <family val="2"/>
        <charset val="238"/>
        <scheme val="minor"/>
      </rPr>
      <t xml:space="preserve"> </t>
    </r>
    <r>
      <rPr>
        <i/>
        <sz val="9"/>
        <color theme="1"/>
        <rFont val="Calibri"/>
        <family val="2"/>
        <charset val="186"/>
        <scheme val="minor"/>
      </rPr>
      <t>(2019 m. - bendra, nuo 2020 m. - tik už Pagrindinį tinklą)</t>
    </r>
  </si>
  <si>
    <r>
      <t xml:space="preserve">SGD įleidimo </t>
    </r>
    <r>
      <rPr>
        <sz val="10"/>
        <color theme="1"/>
        <rFont val="Calibri"/>
        <family val="2"/>
        <charset val="186"/>
        <scheme val="minor"/>
      </rPr>
      <t xml:space="preserve">(Klaipėdos) </t>
    </r>
    <r>
      <rPr>
        <b/>
        <sz val="10"/>
        <color theme="1"/>
        <rFont val="Calibri"/>
        <family val="2"/>
        <charset val="186"/>
        <scheme val="minor"/>
      </rPr>
      <t xml:space="preserve">taško nuolaida </t>
    </r>
  </si>
  <si>
    <r>
      <t xml:space="preserve">Įleidimo / išleidimo pajamų proporcija </t>
    </r>
    <r>
      <rPr>
        <sz val="10"/>
        <color theme="1"/>
        <rFont val="Calibri"/>
        <family val="2"/>
        <charset val="186"/>
        <scheme val="minor"/>
      </rPr>
      <t xml:space="preserve">(angl. </t>
    </r>
    <r>
      <rPr>
        <i/>
        <sz val="10"/>
        <color theme="1"/>
        <rFont val="Calibri"/>
        <family val="2"/>
        <charset val="186"/>
        <scheme val="minor"/>
      </rPr>
      <t>Entry/Exit split</t>
    </r>
    <r>
      <rPr>
        <sz val="10"/>
        <color theme="1"/>
        <rFont val="Calibri"/>
        <family val="2"/>
        <charset val="186"/>
        <scheme val="minor"/>
      </rPr>
      <t>) (kaip Referencinės kainų metodikos (RKM) taikymo rezultatas)</t>
    </r>
  </si>
  <si>
    <t>MWh/parą/metus</t>
  </si>
  <si>
    <t>Įleidimo taškų suma transportavimui į išleidimo taškus, kitus nei į Šakių išleidimo tašką, iš viso</t>
  </si>
  <si>
    <t>Išleidimo taškų suma iš viso</t>
  </si>
  <si>
    <r>
      <t>Dujų srautų ir vartojimo pajėgumų prognozė</t>
    </r>
    <r>
      <rPr>
        <i/>
        <sz val="10"/>
        <color theme="1"/>
        <rFont val="Calibri"/>
        <family val="2"/>
        <charset val="186"/>
        <scheme val="minor"/>
      </rPr>
      <t xml:space="preserve"> (kiekiu grindžiamų perdavimo (naudojantis Pagrindinio tinklo paslaugomis) kainų ir Lokalaus tinklo kainų išvedimui) </t>
    </r>
  </si>
  <si>
    <t>Visi išleidimo taškai: bendra išleidž. dujų srautų suma kiekiu grindžiamų perdav. kainų išvedimui</t>
  </si>
  <si>
    <t>(LT) Vidinis išleidimo taškas: vartojimo pajėgumai Lokalaus tinklo kainų išvedimui</t>
  </si>
  <si>
    <t xml:space="preserve">PERDAVIMO KAINOS: </t>
  </si>
  <si>
    <r>
      <t xml:space="preserve">Pajėgumu grindžiamos kainos </t>
    </r>
    <r>
      <rPr>
        <sz val="10"/>
        <color theme="1"/>
        <rFont val="Calibri"/>
        <family val="2"/>
        <charset val="186"/>
        <scheme val="minor"/>
      </rPr>
      <t xml:space="preserve">(angl. </t>
    </r>
    <r>
      <rPr>
        <i/>
        <sz val="10"/>
        <color theme="1"/>
        <rFont val="Calibri"/>
        <family val="2"/>
        <charset val="186"/>
        <scheme val="minor"/>
      </rPr>
      <t>Capacity-based tariffs</t>
    </r>
    <r>
      <rPr>
        <sz val="10"/>
        <color theme="1"/>
        <rFont val="Calibri"/>
        <family val="2"/>
        <charset val="186"/>
        <scheme val="minor"/>
      </rPr>
      <t>)</t>
    </r>
    <r>
      <rPr>
        <b/>
        <sz val="10"/>
        <color theme="1"/>
        <rFont val="Calibri"/>
        <family val="2"/>
        <charset val="238"/>
        <scheme val="minor"/>
      </rPr>
      <t xml:space="preserve">: Rezervuojamosios kainos (už nuolatinius metų pajėgumų produktus) </t>
    </r>
  </si>
  <si>
    <t>MWh/metus</t>
  </si>
  <si>
    <t>EUR/MWh/parą/metus</t>
  </si>
  <si>
    <r>
      <t xml:space="preserve">Kainos už kiekį </t>
    </r>
    <r>
      <rPr>
        <sz val="10"/>
        <color theme="1"/>
        <rFont val="Calibri"/>
        <family val="2"/>
        <charset val="186"/>
        <scheme val="minor"/>
      </rPr>
      <t xml:space="preserve">(angl. </t>
    </r>
    <r>
      <rPr>
        <i/>
        <sz val="10"/>
        <color theme="1"/>
        <rFont val="Calibri"/>
        <family val="2"/>
        <charset val="186"/>
        <scheme val="minor"/>
      </rPr>
      <t>Flow-based charges</t>
    </r>
    <r>
      <rPr>
        <sz val="10"/>
        <color theme="1"/>
        <rFont val="Calibri"/>
        <family val="2"/>
        <charset val="186"/>
        <scheme val="minor"/>
      </rPr>
      <t>)</t>
    </r>
    <r>
      <rPr>
        <b/>
        <sz val="10"/>
        <color theme="1"/>
        <rFont val="Calibri"/>
        <family val="2"/>
        <charset val="238"/>
        <scheme val="minor"/>
      </rPr>
      <t>:</t>
    </r>
  </si>
  <si>
    <t>Kainos už vartojimo pajėgumus Vidiniame išleidimo taške:</t>
  </si>
  <si>
    <t>KAINŲ UŽ KIEKĮ SUDEDAMŲJŲ DALIŲ UŽ PAGRINDINĮ IR LOKALŲ TINKLUS SKAIČIAVIMAS:</t>
  </si>
  <si>
    <t>Pagrindinis tinklas:</t>
  </si>
  <si>
    <r>
      <t xml:space="preserve">Kiekiu grindžiama kaina (angl. </t>
    </r>
    <r>
      <rPr>
        <i/>
        <sz val="10"/>
        <color theme="1"/>
        <rFont val="Calibri"/>
        <family val="2"/>
        <charset val="186"/>
        <scheme val="minor"/>
      </rPr>
      <t>Commodity-based tariff</t>
    </r>
    <r>
      <rPr>
        <sz val="10"/>
        <color theme="1"/>
        <rFont val="Calibri"/>
        <family val="2"/>
        <charset val="186"/>
        <scheme val="minor"/>
      </rPr>
      <t>) visuose išleidimo taškuose</t>
    </r>
  </si>
  <si>
    <t xml:space="preserve">     iš jų LP, nevertinant Reguliavimo sąskaitos ir CBCA</t>
  </si>
  <si>
    <t xml:space="preserve">     iš jų - CBCA</t>
  </si>
  <si>
    <t>Vidutiis (2019-2015) dujų srautas Vidiniame išleidimo taške (-uose) ir Šakių išleidimo taške m., MWh:</t>
  </si>
  <si>
    <t>(LT&gt;LV) Kiemėnų išleidimo taškui
(LT&gt;PL) Santakos išleidimo taškui</t>
  </si>
  <si>
    <t>(LT) Vidiniam(s) ir Šakių išleidimo taškams</t>
  </si>
  <si>
    <t>Vidinis išleidimo taškas</t>
  </si>
  <si>
    <t>Vidinis išleidimo taškas - Achema</t>
  </si>
  <si>
    <t>(LT&gt;PL) Santakos išleidimo taškas</t>
  </si>
  <si>
    <t>(LT) Vidiniai išleidimo taškai:</t>
  </si>
  <si>
    <t xml:space="preserve">   iš jų priskirta Vidaus išleidimo taškui - Achema</t>
  </si>
  <si>
    <t xml:space="preserve">   iš jų priskirta Vidaus išleidimo taškui</t>
  </si>
  <si>
    <t>pajamų dalis už Lokalaus tinklo paslaugas priskirta už ilgalaikius pajėgus vidaus išleidimo taškuose</t>
  </si>
  <si>
    <r>
      <t xml:space="preserve">     pajamų </t>
    </r>
    <r>
      <rPr>
        <b/>
        <i/>
        <sz val="10"/>
        <color theme="1"/>
        <rFont val="Calibri"/>
        <family val="2"/>
        <charset val="186"/>
        <scheme val="minor"/>
      </rPr>
      <t>už vartojimo pajėgumus dalis Lokalaus tinklo paslaugų pajamose</t>
    </r>
  </si>
  <si>
    <t xml:space="preserve">iš jų vidaus išleidimo taško - Achema </t>
  </si>
  <si>
    <t>iš jų Vidaus išleidimo taškui</t>
  </si>
  <si>
    <r>
      <t xml:space="preserve">     pajamų </t>
    </r>
    <r>
      <rPr>
        <b/>
        <i/>
        <sz val="10"/>
        <color theme="1"/>
        <rFont val="Calibri"/>
        <family val="2"/>
        <charset val="186"/>
        <scheme val="minor"/>
      </rPr>
      <t>dalis už Lokalaus tinklo paslaugas priskirta už ilgalaikius pajėgus vidaus išleidimo taškuose</t>
    </r>
  </si>
  <si>
    <t>(LT&gt;LV) Santaka išleidimo taškas</t>
  </si>
  <si>
    <t>(LT) Vidinis išleidimo taškas - Achema</t>
  </si>
  <si>
    <t>Santakta įleidimo taško nuolaida</t>
  </si>
  <si>
    <t>(PL&gt;LT) Santakos įleidimo taškas</t>
  </si>
  <si>
    <t>(LT) Vidiniai išleidimo taškai*</t>
  </si>
  <si>
    <t>lokalaus tinklo dedamoji Vidaus išleidimo taškui</t>
  </si>
  <si>
    <t>lokalaus tinklo dedamoji Vidaus išleidimo - Achema taškui</t>
  </si>
  <si>
    <t>(LT&gt;LV) Kiemėnų, (LT&gt;PL) Santakos išleidimo taškui</t>
  </si>
  <si>
    <t>(LT) Vidiniams išleidimo taškams</t>
  </si>
  <si>
    <t xml:space="preserve">   iš jų priskirta vidaus išleidimo taško - Achema </t>
  </si>
  <si>
    <t xml:space="preserve">   iš jų priskirta vidaus išleidimo taško</t>
  </si>
  <si>
    <r>
      <t xml:space="preserve">     iš jų priskirta </t>
    </r>
    <r>
      <rPr>
        <b/>
        <sz val="10"/>
        <color theme="1"/>
        <rFont val="Calibri"/>
        <family val="2"/>
        <charset val="186"/>
        <scheme val="minor"/>
      </rPr>
      <t>Lokaliam tinklui</t>
    </r>
    <r>
      <rPr>
        <sz val="10"/>
        <color theme="1"/>
        <rFont val="Calibri"/>
        <family val="2"/>
        <charset val="186"/>
        <scheme val="minor"/>
      </rPr>
      <t xml:space="preserve"> vartojimo pajėgumams</t>
    </r>
  </si>
  <si>
    <t xml:space="preserve">iš jų priskirta pajamoms už vartojimo pajėgumus vidaus išleidimo taško - Achema </t>
  </si>
  <si>
    <t>iš jų priskirta pajamoms už vartojimo pajėgumus vidaus išleidimo taško</t>
  </si>
  <si>
    <r>
      <t xml:space="preserve">     iš jų priskirta pagr. tinklui dėl l</t>
    </r>
    <r>
      <rPr>
        <b/>
        <sz val="10"/>
        <color theme="1"/>
        <rFont val="Calibri"/>
        <family val="2"/>
        <charset val="186"/>
        <scheme val="minor"/>
      </rPr>
      <t>okalaus tinklo</t>
    </r>
  </si>
  <si>
    <t>iš jų priskirta pajamoms už ilgalaikius pajėgumus dėl lokalaus tinklo vidaus išleidimo taško</t>
  </si>
  <si>
    <t>iš jų priskirta pajamoms už ilgalaikius pajėgumus dėl lokalaus tinklo vidaus išleidimo taško - Achema</t>
  </si>
  <si>
    <t>(LT) Galutinė Vidinio išleidimo taško kaina</t>
  </si>
  <si>
    <t>(LT) Galutinė Vidinio išleidimo taško - Achema kaina</t>
  </si>
  <si>
    <t xml:space="preserve">     iš jų (LT&gt;LV) Kiemėnų</t>
  </si>
  <si>
    <t xml:space="preserve">     iš jų (LT&gt;LV) Santakos išleidimo taškui</t>
  </si>
  <si>
    <t xml:space="preserve">     iš jų (LT) vidiniams išleidimo taškams</t>
  </si>
  <si>
    <t>Valandų skaičius metuose</t>
  </si>
  <si>
    <t>Kalendorinių dienų bei valandų skaičius metuose/ketvirčiuose/mėnesiuose:</t>
  </si>
  <si>
    <t>Tarifų metai 2023</t>
  </si>
  <si>
    <t>Tarifiniai metai 2023</t>
  </si>
  <si>
    <t>Turi būti pildomi tik mėlyni laukeliai</t>
  </si>
  <si>
    <t xml:space="preserve">Pildoma </t>
  </si>
  <si>
    <t xml:space="preserve">Nepildoma </t>
  </si>
  <si>
    <t>Tarifų metai 2024</t>
  </si>
  <si>
    <t>Perdavimo paslaugų kainų ir referencinių kainų (be PVM) 2023-2028 tarifiniams metams skaičiavimas (naudojantis AB „Amber Grid“ gamtinių dujų perdavimo sistemos infrastruktūra)</t>
  </si>
  <si>
    <t>Sezoninių koeficientų (SK) skaičiavimas 2023 m. (LT) Vidiniame išleidimo taške (-uose) ir (LT&gt;RU) Šakių išleidimo taške likusiam Reguliavimo periodui (2024-2028)</t>
  </si>
  <si>
    <r>
      <t>Užsakomų pajėgumų prognozė</t>
    </r>
    <r>
      <rPr>
        <i/>
        <sz val="10"/>
        <color theme="1"/>
        <rFont val="Calibri"/>
        <family val="2"/>
        <charset val="186"/>
        <scheme val="minor"/>
      </rPr>
      <t xml:space="preserve"> (pajėgumu grindžiamų perdavimo kainų išvedimui) </t>
    </r>
  </si>
  <si>
    <t>(LV&gt;LT) Santakos įleidimo taškas</t>
  </si>
  <si>
    <t>Tarifiniai metai 2024</t>
  </si>
  <si>
    <t>LT Vidaus įleidimo taškas</t>
  </si>
  <si>
    <t>SGDT galutinis nuolaidos perskirstymas už 2020 m. ES išleidimo taškams (priskiriam. Pagrindiniam tinklui) 2023 m.</t>
  </si>
  <si>
    <t>SGDT galutinis nuolaidos perskirstymas už 2021 m. ES išleidimo taškams (priskiriam. Pagrindiniam tinklui) 2023 m.</t>
  </si>
  <si>
    <t>SGDT tarpinis nuolaidos perskirstymas už 2022 m. ES išleidimo taškams (priskiriam. Pagrindiniam tinklui) 2023 m.
SGDT galutinis nuolaidos perskirstymas už 2022 m. ES išleidimo taškams (priskiriam. Pagrindiniam tinklui) 2024 m.</t>
  </si>
  <si>
    <t>SGDT nuolaidos perskirstymas už 2020-2022 m. ES išleidimo taškams (priskiriam. Pagrindiniam tinklui)</t>
  </si>
  <si>
    <r>
      <t xml:space="preserve">! Nepriklausomai nuo įvesties duomenų, įleidimo/išleidimo proporcijos, kaip įvesties parametro, įleidimo (%) dalis 2023-2024 m. (šio darbalaukio laukeliai </t>
    </r>
    <r>
      <rPr>
        <b/>
        <sz val="9"/>
        <rFont val="Calibri"/>
        <family val="2"/>
        <charset val="186"/>
        <scheme val="minor"/>
      </rPr>
      <t>E75:F76</t>
    </r>
    <r>
      <rPr>
        <sz val="9"/>
        <rFont val="Calibri"/>
        <family val="2"/>
        <charset val="186"/>
        <scheme val="minor"/>
      </rPr>
      <t xml:space="preserve">) turi būti pakoreguoti taip, kad referencinė kaina Kotlovkos įleidimo taške (laisvai skirstomiems pajėgumams) (šio darbalaukio laukelis </t>
    </r>
    <r>
      <rPr>
        <b/>
        <sz val="9"/>
        <rFont val="Calibri"/>
        <family val="2"/>
        <charset val="186"/>
        <scheme val="minor"/>
      </rPr>
      <t>F120:H120</t>
    </r>
    <r>
      <rPr>
        <sz val="9"/>
        <rFont val="Calibri"/>
        <family val="2"/>
        <charset val="186"/>
        <scheme val="minor"/>
      </rPr>
      <t>) būtų lygi 142,77 Eur (kaip taikoma FINESTLAT kainų zonoje)</t>
    </r>
  </si>
  <si>
    <t>Tarifų metai 2025</t>
  </si>
  <si>
    <t>Tarifų metai 2026</t>
  </si>
  <si>
    <t>Tarifų metai 2027</t>
  </si>
  <si>
    <t>Tarifų metai 2028</t>
  </si>
  <si>
    <t>Tarifiniai metai 2025</t>
  </si>
  <si>
    <t>Tarifiniai metai 2026</t>
  </si>
  <si>
    <t>Tarifiniai metai 2027</t>
  </si>
  <si>
    <t>Tarifiniai metai 2028</t>
  </si>
  <si>
    <t>Perdavimo paslaugų trumpalaikių nuolatinių pajėgumų produktų kainos</t>
  </si>
  <si>
    <t>KAINŲ SKAIČIAVIMO MODELIS</t>
  </si>
  <si>
    <r>
      <t xml:space="preserve">Turi būti pildomi </t>
    </r>
    <r>
      <rPr>
        <b/>
        <i/>
        <u/>
        <sz val="11"/>
        <color rgb="FFFF0000"/>
        <rFont val="Calibri"/>
        <family val="2"/>
        <charset val="186"/>
        <scheme val="minor"/>
      </rPr>
      <t>tik mėlyni laukeliai</t>
    </r>
    <r>
      <rPr>
        <b/>
        <i/>
        <sz val="11"/>
        <color theme="4" tint="-0.249977111117893"/>
        <rFont val="Calibri"/>
        <family val="2"/>
        <charset val="186"/>
        <scheme val="minor"/>
      </rPr>
      <t xml:space="preserve"> (pilki/žali laukeliai: skaičiavimai arba faktiniai įvesties ar išvesties duomenys; oranžiniai laukeliai: duomenys iš kito darbalaukio)</t>
    </r>
  </si>
  <si>
    <r>
      <rPr>
        <b/>
        <sz val="11"/>
        <color theme="1"/>
        <rFont val="Calibri"/>
        <family val="2"/>
        <charset val="186"/>
        <scheme val="minor"/>
      </rPr>
      <t>PAAIŠKINIMAI:</t>
    </r>
    <r>
      <rPr>
        <b/>
        <sz val="11"/>
        <color rgb="FFFF0000"/>
        <rFont val="Calibri"/>
        <family val="2"/>
        <charset val="186"/>
        <scheme val="minor"/>
      </rPr>
      <t xml:space="preserve">
</t>
    </r>
    <r>
      <rPr>
        <sz val="11"/>
        <color theme="1"/>
        <rFont val="Calibri"/>
        <family val="2"/>
        <charset val="186"/>
        <scheme val="minor"/>
      </rPr>
      <t xml:space="preserve">Šio kainų skaičiavimo modelio 3 darbalaukiai yra skirti šiems tikslams:
 - šis darbalaukis: referencinių kainų (už nuolatinius metų pajėgumų produktus), kainų už kiekį, kainų už vartojimo pajėgumus (pagrindiniai įvesties parametrai turi būti įvedami šiame darbalaukyje);
- darbalaukis </t>
    </r>
    <r>
      <rPr>
        <i/>
        <sz val="11"/>
        <color theme="1"/>
        <rFont val="Calibri"/>
        <family val="2"/>
        <charset val="186"/>
        <scheme val="minor"/>
      </rPr>
      <t>DG_SK, Trumpal. kainos</t>
    </r>
    <r>
      <rPr>
        <sz val="11"/>
        <color theme="1"/>
        <rFont val="Calibri"/>
        <family val="2"/>
        <charset val="186"/>
        <scheme val="minor"/>
      </rPr>
      <t>: trumpalaikių nuolatinių pajėgumų produktų kainų iki 2028 m. skaičiavimui, įskaitant daugiklių ir sezoninių koeficientų įvesties duomenis;
- paskutinis darbalaukis: bendrų sezoninių koeficientų taikomų Vidiniuose ir Šakių išleidimo taškuose 2024 m. - 2028m. skaičiavimui.</t>
    </r>
  </si>
  <si>
    <t>check</t>
  </si>
  <si>
    <t>Liepa,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</si>
</sst>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4">
    <numFmt numFmtId="164" formatCode="_-* #,##0.00\ _€_-;\-* #,##0.00\ _€_-;_-* &quot;-&quot;??\ _€_-;_-@_-"/>
    <numFmt numFmtId="165" formatCode="#,##0\ _z_ł"/>
    <numFmt numFmtId="166" formatCode="_-* #,##0\ _z_ł_-;\-* #,##0\ _z_ł_-;_-* &quot;-&quot;??\ _z_ł_-;_-@_-"/>
    <numFmt numFmtId="167" formatCode="_-* #,##0.0000\ _z_ł_-;\-* #,##0.0000\ _z_ł_-;_-* &quot;-&quot;??\ _z_ł_-;_-@_-"/>
    <numFmt numFmtId="168" formatCode="0.0%"/>
    <numFmt numFmtId="169" formatCode="#,##0.000"/>
    <numFmt numFmtId="170" formatCode="0.0000%"/>
    <numFmt numFmtId="171" formatCode="0.0000"/>
    <numFmt numFmtId="172" formatCode="#,##0.00\ _z_ł"/>
    <numFmt numFmtId="173" formatCode="#,##0.0"/>
    <numFmt numFmtId="174" formatCode="#,##0.00000000\ _z_ł"/>
    <numFmt numFmtId="175" formatCode="0.0"/>
    <numFmt numFmtId="176" formatCode="#,##0.000000"/>
    <numFmt numFmtId="177" formatCode="0.000"/>
  </numFmts>
  <fonts count="6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b/>
      <sz val="12"/>
      <color theme="0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sz val="10"/>
      <color theme="1"/>
      <name val="Arial"/>
      <family val="2"/>
      <charset val="238"/>
    </font>
    <font>
      <sz val="10"/>
      <color theme="1"/>
      <name val="Calibri"/>
      <family val="2"/>
      <charset val="186"/>
    </font>
    <font>
      <sz val="12"/>
      <color theme="1"/>
      <name val="Calibri"/>
      <family val="2"/>
      <charset val="186"/>
    </font>
    <font>
      <sz val="10"/>
      <color theme="1"/>
      <name val="Calibri"/>
      <family val="2"/>
      <charset val="186"/>
      <scheme val="minor"/>
    </font>
    <font>
      <i/>
      <sz val="10"/>
      <color theme="1"/>
      <name val="Calibri"/>
      <family val="2"/>
      <charset val="186"/>
      <scheme val="minor"/>
    </font>
    <font>
      <b/>
      <sz val="18"/>
      <color theme="1"/>
      <name val="Calibri"/>
      <family val="2"/>
      <charset val="186"/>
    </font>
    <font>
      <b/>
      <sz val="10"/>
      <color theme="1"/>
      <name val="Calibri"/>
      <family val="2"/>
      <charset val="186"/>
      <scheme val="minor"/>
    </font>
    <font>
      <i/>
      <sz val="9"/>
      <color theme="1"/>
      <name val="Calibri"/>
      <family val="2"/>
      <charset val="186"/>
      <scheme val="minor"/>
    </font>
    <font>
      <i/>
      <vertAlign val="superscript"/>
      <sz val="10"/>
      <color theme="1"/>
      <name val="Calibri"/>
      <family val="2"/>
      <charset val="186"/>
      <scheme val="minor"/>
    </font>
    <font>
      <i/>
      <sz val="10"/>
      <color theme="9" tint="-0.249977111117893"/>
      <name val="Calibri"/>
      <family val="2"/>
      <charset val="186"/>
      <scheme val="minor"/>
    </font>
    <font>
      <i/>
      <sz val="10"/>
      <color rgb="FF0070C0"/>
      <name val="Calibri"/>
      <family val="2"/>
      <charset val="186"/>
      <scheme val="minor"/>
    </font>
    <font>
      <sz val="9"/>
      <color theme="2" tint="-0.499984740745262"/>
      <name val="Calibri"/>
      <family val="2"/>
      <charset val="186"/>
      <scheme val="minor"/>
    </font>
    <font>
      <sz val="9"/>
      <color theme="2" tint="-0.499984740745262"/>
      <name val="Calibri"/>
      <family val="2"/>
      <charset val="238"/>
      <scheme val="minor"/>
    </font>
    <font>
      <b/>
      <sz val="11"/>
      <color rgb="FFFF0000"/>
      <name val="Calibri"/>
      <family val="2"/>
      <charset val="186"/>
      <scheme val="minor"/>
    </font>
    <font>
      <b/>
      <sz val="10"/>
      <color rgb="FFFF0000"/>
      <name val="Calibri"/>
      <family val="2"/>
      <charset val="186"/>
      <scheme val="minor"/>
    </font>
    <font>
      <sz val="11"/>
      <color rgb="FFFF0000"/>
      <name val="Calibri"/>
      <family val="2"/>
      <scheme val="minor"/>
    </font>
    <font>
      <b/>
      <i/>
      <sz val="10"/>
      <color rgb="FF0070C0"/>
      <name val="Calibri"/>
      <family val="2"/>
      <charset val="186"/>
      <scheme val="minor"/>
    </font>
    <font>
      <sz val="10"/>
      <name val="Arial"/>
      <family val="2"/>
      <charset val="186"/>
    </font>
    <font>
      <i/>
      <sz val="11"/>
      <color theme="1"/>
      <name val="Calibri"/>
      <family val="2"/>
      <charset val="186"/>
      <scheme val="minor"/>
    </font>
    <font>
      <i/>
      <sz val="10"/>
      <color theme="0" tint="-0.499984740745262"/>
      <name val="Calibri"/>
      <family val="2"/>
      <charset val="186"/>
      <scheme val="minor"/>
    </font>
    <font>
      <b/>
      <i/>
      <sz val="10"/>
      <color theme="0" tint="-0.499984740745262"/>
      <name val="Calibri"/>
      <family val="2"/>
      <charset val="186"/>
      <scheme val="minor"/>
    </font>
    <font>
      <i/>
      <sz val="10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186"/>
      <scheme val="minor"/>
    </font>
    <font>
      <b/>
      <sz val="18"/>
      <color theme="1"/>
      <name val="Calibri"/>
      <family val="2"/>
      <charset val="186"/>
      <scheme val="minor"/>
    </font>
    <font>
      <sz val="10"/>
      <color theme="0" tint="-0.499984740745262"/>
      <name val="Calibri"/>
      <family val="2"/>
      <charset val="186"/>
      <scheme val="minor"/>
    </font>
    <font>
      <sz val="9"/>
      <color theme="1"/>
      <name val="Calibri"/>
      <family val="2"/>
      <scheme val="minor"/>
    </font>
    <font>
      <sz val="8"/>
      <name val="Calibri"/>
      <family val="2"/>
      <scheme val="minor"/>
    </font>
    <font>
      <i/>
      <sz val="11"/>
      <color rgb="FF0070C0"/>
      <name val="Calibri"/>
      <family val="2"/>
      <charset val="186"/>
      <scheme val="minor"/>
    </font>
    <font>
      <b/>
      <i/>
      <sz val="10"/>
      <color theme="1"/>
      <name val="Calibri"/>
      <family val="2"/>
      <charset val="186"/>
      <scheme val="minor"/>
    </font>
    <font>
      <sz val="10"/>
      <name val="Calibri"/>
      <family val="2"/>
      <charset val="238"/>
      <scheme val="minor"/>
    </font>
    <font>
      <b/>
      <sz val="10"/>
      <color theme="1" tint="0.14999847407452621"/>
      <name val="Calibri"/>
      <family val="2"/>
      <charset val="186"/>
      <scheme val="minor"/>
    </font>
    <font>
      <b/>
      <sz val="10"/>
      <color theme="1" tint="0.14999847407452621"/>
      <name val="Calibri"/>
      <family val="2"/>
      <scheme val="minor"/>
    </font>
    <font>
      <i/>
      <sz val="10"/>
      <color theme="1" tint="0.14999847407452621"/>
      <name val="Calibri"/>
      <family val="2"/>
      <scheme val="minor"/>
    </font>
    <font>
      <sz val="10"/>
      <color theme="1" tint="0.14999847407452621"/>
      <name val="Calibri"/>
      <family val="2"/>
      <scheme val="minor"/>
    </font>
    <font>
      <sz val="11"/>
      <color theme="1" tint="0.14999847407452621"/>
      <name val="Calibri"/>
      <family val="2"/>
      <scheme val="minor"/>
    </font>
    <font>
      <sz val="10"/>
      <color theme="1" tint="0.14999847407452621"/>
      <name val="Calibri"/>
      <family val="2"/>
      <charset val="186"/>
      <scheme val="minor"/>
    </font>
    <font>
      <i/>
      <sz val="11"/>
      <color theme="1" tint="0.14999847407452621"/>
      <name val="Calibri"/>
      <family val="2"/>
      <charset val="186"/>
      <scheme val="minor"/>
    </font>
    <font>
      <i/>
      <sz val="10"/>
      <color theme="1" tint="0.14999847407452621"/>
      <name val="Calibri"/>
      <family val="2"/>
      <charset val="186"/>
      <scheme val="minor"/>
    </font>
    <font>
      <b/>
      <sz val="10"/>
      <color theme="0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2"/>
      <color theme="1" tint="0.14999847407452621"/>
      <name val="Calibri"/>
      <family val="2"/>
      <scheme val="minor"/>
    </font>
    <font>
      <b/>
      <i/>
      <sz val="10"/>
      <color theme="4" tint="-0.249977111117893"/>
      <name val="Calibri"/>
      <family val="2"/>
      <charset val="186"/>
      <scheme val="minor"/>
    </font>
    <font>
      <b/>
      <i/>
      <sz val="11"/>
      <color theme="4" tint="-0.249977111117893"/>
      <name val="Calibri"/>
      <family val="2"/>
      <charset val="186"/>
      <scheme val="minor"/>
    </font>
    <font>
      <b/>
      <i/>
      <u/>
      <sz val="11"/>
      <color rgb="FFFF0000"/>
      <name val="Calibri"/>
      <family val="2"/>
      <charset val="186"/>
      <scheme val="minor"/>
    </font>
    <font>
      <b/>
      <sz val="11"/>
      <color theme="1" tint="0.14999847407452621"/>
      <name val="Calibri"/>
      <family val="2"/>
      <charset val="186"/>
      <scheme val="minor"/>
    </font>
    <font>
      <i/>
      <sz val="12"/>
      <color theme="1"/>
      <name val="Calibri"/>
      <family val="2"/>
      <charset val="186"/>
    </font>
    <font>
      <b/>
      <sz val="9"/>
      <name val="Calibri"/>
      <family val="2"/>
      <charset val="186"/>
      <scheme val="minor"/>
    </font>
    <font>
      <sz val="9"/>
      <name val="Calibri"/>
      <family val="2"/>
      <charset val="186"/>
      <scheme val="minor"/>
    </font>
    <font>
      <i/>
      <sz val="11"/>
      <color theme="0" tint="-0.14999847407452621"/>
      <name val="Calibri"/>
      <family val="2"/>
      <charset val="186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67C08B"/>
        <bgColor indexed="64"/>
      </patternFill>
    </fill>
    <fill>
      <patternFill patternType="solid">
        <fgColor rgb="FFEAEEEF"/>
        <bgColor indexed="64"/>
      </patternFill>
    </fill>
    <fill>
      <patternFill patternType="solid">
        <fgColor rgb="FF63AFC6"/>
        <bgColor indexed="64"/>
      </patternFill>
    </fill>
    <fill>
      <patternFill patternType="solid">
        <fgColor rgb="FF5A6265"/>
        <bgColor indexed="64"/>
      </patternFill>
    </fill>
    <fill>
      <patternFill patternType="solid">
        <fgColor rgb="FFE8C895"/>
        <bgColor indexed="64"/>
      </patternFill>
    </fill>
    <fill>
      <patternFill patternType="solid">
        <fgColor rgb="FFD9D9D9"/>
        <bgColor indexed="64"/>
      </patternFill>
    </fill>
  </fills>
  <borders count="5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/>
      <right style="thin">
        <color theme="0" tint="-0.34998626667073579"/>
      </right>
      <top/>
      <bottom style="thin">
        <color theme="0" tint="-0.34998626667073579"/>
      </bottom>
      <diagonal/>
    </border>
    <border>
      <left/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34998626667073579"/>
      </left>
      <right style="thin">
        <color theme="0" tint="-0.34998626667073579"/>
      </right>
      <top/>
      <bottom style="thin">
        <color theme="0" tint="-0.34998626667073579"/>
      </bottom>
      <diagonal/>
    </border>
    <border>
      <left style="thin">
        <color theme="0" tint="-0.34998626667073579"/>
      </left>
      <right/>
      <top style="thin">
        <color theme="0" tint="-0.34998626667073579"/>
      </top>
      <bottom style="thin">
        <color theme="0" tint="-0.34998626667073579"/>
      </bottom>
      <diagonal/>
    </border>
    <border>
      <left style="thick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34998626667073579"/>
      </left>
      <right style="thick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/>
      <diagonal/>
    </border>
    <border>
      <left style="thin">
        <color theme="0" tint="-0.34998626667073579"/>
      </left>
      <right style="thick">
        <color theme="0" tint="-0.34998626667073579"/>
      </right>
      <top style="thin">
        <color theme="0" tint="-0.34998626667073579"/>
      </top>
      <bottom/>
      <diagonal/>
    </border>
    <border>
      <left/>
      <right style="thin">
        <color theme="0" tint="-0.34998626667073579"/>
      </right>
      <top style="thin">
        <color theme="0" tint="-0.34998626667073579"/>
      </top>
      <bottom/>
      <diagonal/>
    </border>
    <border>
      <left style="thick">
        <color theme="0" tint="-0.34998626667073579"/>
      </left>
      <right style="thin">
        <color theme="0" tint="-0.34998626667073579"/>
      </right>
      <top style="thin">
        <color theme="0" tint="-0.34998626667073579"/>
      </top>
      <bottom/>
      <diagonal/>
    </border>
    <border>
      <left style="thin">
        <color theme="0" tint="-0.34998626667073579"/>
      </left>
      <right style="thick">
        <color theme="0" tint="-0.34998626667073579"/>
      </right>
      <top/>
      <bottom style="thin">
        <color theme="0" tint="-0.34998626667073579"/>
      </bottom>
      <diagonal/>
    </border>
    <border>
      <left style="thick">
        <color theme="0" tint="-0.34998626667073579"/>
      </left>
      <right style="thin">
        <color theme="0" tint="-0.34998626667073579"/>
      </right>
      <top/>
      <bottom style="thin">
        <color theme="0" tint="-0.34998626667073579"/>
      </bottom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 style="medium">
        <color rgb="FFFF0000"/>
      </bottom>
      <diagonal/>
    </border>
    <border>
      <left style="thin">
        <color rgb="FF5A6265"/>
      </left>
      <right style="thin">
        <color rgb="FF5A6265"/>
      </right>
      <top style="thin">
        <color rgb="FF5A6265"/>
      </top>
      <bottom style="thin">
        <color rgb="FF5A6265"/>
      </bottom>
      <diagonal/>
    </border>
    <border>
      <left style="thin">
        <color rgb="FF5A6265"/>
      </left>
      <right/>
      <top/>
      <bottom style="thin">
        <color rgb="FF5A6265"/>
      </bottom>
      <diagonal/>
    </border>
    <border>
      <left style="medium">
        <color rgb="FF5A6265"/>
      </left>
      <right/>
      <top/>
      <bottom/>
      <diagonal/>
    </border>
    <border>
      <left style="thin">
        <color theme="0" tint="-0.34998626667073579"/>
      </left>
      <right style="medium">
        <color rgb="FF5A6265"/>
      </right>
      <top/>
      <bottom style="thin">
        <color theme="0" tint="-0.34998626667073579"/>
      </bottom>
      <diagonal/>
    </border>
    <border>
      <left style="thin">
        <color theme="0" tint="-0.34998626667073579"/>
      </left>
      <right style="medium">
        <color rgb="FF5A6265"/>
      </right>
      <top style="thin">
        <color theme="0" tint="-0.34998626667073579"/>
      </top>
      <bottom style="thin">
        <color theme="0" tint="-0.34998626667073579"/>
      </bottom>
      <diagonal/>
    </border>
    <border>
      <left style="medium">
        <color rgb="FF5A6265"/>
      </left>
      <right/>
      <top/>
      <bottom style="medium">
        <color rgb="FF5A6265"/>
      </bottom>
      <diagonal/>
    </border>
    <border>
      <left style="thin">
        <color theme="0" tint="-0.34998626667073579"/>
      </left>
      <right style="thick">
        <color theme="0" tint="-0.34998626667073579"/>
      </right>
      <top style="thin">
        <color theme="0" tint="-0.34998626667073579"/>
      </top>
      <bottom style="medium">
        <color rgb="FF5A6265"/>
      </bottom>
      <diagonal/>
    </border>
    <border>
      <left style="thick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medium">
        <color rgb="FF5A6265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medium">
        <color rgb="FF5A6265"/>
      </bottom>
      <diagonal/>
    </border>
    <border>
      <left style="thin">
        <color theme="0" tint="-0.34998626667073579"/>
      </left>
      <right style="medium">
        <color rgb="FF5A6265"/>
      </right>
      <top style="thin">
        <color theme="0" tint="-0.34998626667073579"/>
      </top>
      <bottom style="medium">
        <color rgb="FF5A6265"/>
      </bottom>
      <diagonal/>
    </border>
    <border>
      <left/>
      <right style="medium">
        <color rgb="FF5A6265"/>
      </right>
      <top/>
      <bottom/>
      <diagonal/>
    </border>
    <border>
      <left style="thin">
        <color theme="0" tint="-0.34998626667073579"/>
      </left>
      <right style="medium">
        <color rgb="FF5A6265"/>
      </right>
      <top style="thin">
        <color theme="0" tint="-0.34998626667073579"/>
      </top>
      <bottom/>
      <diagonal/>
    </border>
    <border>
      <left/>
      <right style="thin">
        <color theme="0" tint="-0.34998626667073579"/>
      </right>
      <top style="thin">
        <color theme="0" tint="-0.34998626667073579"/>
      </top>
      <bottom style="medium">
        <color rgb="FF5A6265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rgb="FF5A6265"/>
      </left>
      <right style="thin">
        <color rgb="FF5A6265"/>
      </right>
      <top style="medium">
        <color indexed="64"/>
      </top>
      <bottom style="thin">
        <color rgb="FF5A6265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rgb="FF5A6265"/>
      </left>
      <right style="thin">
        <color rgb="FF5A6265"/>
      </right>
      <top style="thin">
        <color rgb="FF5A6265"/>
      </top>
      <bottom style="medium">
        <color indexed="64"/>
      </bottom>
      <diagonal/>
    </border>
    <border>
      <left style="thin">
        <color rgb="FF5A6265"/>
      </left>
      <right/>
      <top style="medium">
        <color indexed="64"/>
      </top>
      <bottom style="thin">
        <color rgb="FF5A6265"/>
      </bottom>
      <diagonal/>
    </border>
    <border>
      <left style="thin">
        <color rgb="FF5A6265"/>
      </left>
      <right/>
      <top style="thin">
        <color rgb="FF5A6265"/>
      </top>
      <bottom style="thin">
        <color rgb="FF5A6265"/>
      </bottom>
      <diagonal/>
    </border>
    <border>
      <left style="thin">
        <color rgb="FF5A6265"/>
      </left>
      <right/>
      <top style="thin">
        <color rgb="FF5A6265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indexed="64"/>
      </bottom>
      <diagonal/>
    </border>
    <border>
      <left style="thin">
        <color theme="0" tint="-0.499984740745262"/>
      </left>
      <right style="thin">
        <color indexed="64"/>
      </right>
      <top style="thin">
        <color theme="0" tint="-0.499984740745262"/>
      </top>
      <bottom style="thin">
        <color indexed="64"/>
      </bottom>
      <diagonal/>
    </border>
    <border>
      <left/>
      <right/>
      <top/>
      <bottom style="thin">
        <color theme="0" tint="-0.34998626667073579"/>
      </bottom>
      <diagonal/>
    </border>
    <border>
      <left style="thin">
        <color rgb="FF5A6265"/>
      </left>
      <right style="medium">
        <color indexed="64"/>
      </right>
      <top style="medium">
        <color indexed="64"/>
      </top>
      <bottom style="thin">
        <color rgb="FF5A6265"/>
      </bottom>
      <diagonal/>
    </border>
    <border>
      <left style="thin">
        <color rgb="FF5A6265"/>
      </left>
      <right style="medium">
        <color indexed="64"/>
      </right>
      <top style="thin">
        <color rgb="FF5A6265"/>
      </top>
      <bottom style="thin">
        <color rgb="FF5A6265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5A6265"/>
      </left>
      <right style="medium">
        <color indexed="64"/>
      </right>
      <top/>
      <bottom style="thin">
        <color rgb="FF5A6265"/>
      </bottom>
      <diagonal/>
    </border>
    <border>
      <left style="thin">
        <color rgb="FF5A6265"/>
      </left>
      <right style="medium">
        <color indexed="64"/>
      </right>
      <top style="thin">
        <color rgb="FF5A6265"/>
      </top>
      <bottom style="medium">
        <color indexed="64"/>
      </bottom>
      <diagonal/>
    </border>
  </borders>
  <cellStyleXfs count="38">
    <xf numFmtId="0" fontId="0" fillId="0" borderId="0"/>
    <xf numFmtId="164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0" fontId="15" fillId="0" borderId="0"/>
    <xf numFmtId="0" fontId="16" fillId="0" borderId="0"/>
    <xf numFmtId="0" fontId="9" fillId="0" borderId="0"/>
    <xf numFmtId="0" fontId="8" fillId="0" borderId="0"/>
    <xf numFmtId="9" fontId="8" fillId="0" borderId="0" applyFont="0" applyFill="0" applyBorder="0" applyAlignment="0" applyProtection="0"/>
    <xf numFmtId="0" fontId="33" fillId="0" borderId="0"/>
    <xf numFmtId="0" fontId="33" fillId="0" borderId="0"/>
    <xf numFmtId="0" fontId="7" fillId="0" borderId="0"/>
    <xf numFmtId="0" fontId="6" fillId="0" borderId="0"/>
    <xf numFmtId="0" fontId="5" fillId="0" borderId="0"/>
    <xf numFmtId="0" fontId="4" fillId="0" borderId="0"/>
    <xf numFmtId="164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0" fontId="10" fillId="0" borderId="0"/>
    <xf numFmtId="0" fontId="3" fillId="0" borderId="0"/>
    <xf numFmtId="0" fontId="3" fillId="0" borderId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2" fillId="0" borderId="0"/>
    <xf numFmtId="0" fontId="2" fillId="0" borderId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</cellStyleXfs>
  <cellXfs count="357">
    <xf numFmtId="0" fontId="0" fillId="0" borderId="0" xfId="0"/>
    <xf numFmtId="0" fontId="11" fillId="0" borderId="0" xfId="0" applyFont="1" applyBorder="1" applyAlignment="1" applyProtection="1">
      <alignment horizontal="center"/>
    </xf>
    <xf numFmtId="0" fontId="11" fillId="0" borderId="0" xfId="0" applyFont="1" applyBorder="1" applyProtection="1"/>
    <xf numFmtId="0" fontId="11" fillId="0" borderId="0" xfId="0" applyFont="1" applyFill="1" applyBorder="1" applyProtection="1"/>
    <xf numFmtId="0" fontId="17" fillId="4" borderId="0" xfId="4" applyFont="1" applyFill="1"/>
    <xf numFmtId="3" fontId="0" fillId="0" borderId="0" xfId="0" applyNumberFormat="1"/>
    <xf numFmtId="0" fontId="25" fillId="0" borderId="0" xfId="0" applyFont="1" applyBorder="1" applyProtection="1"/>
    <xf numFmtId="0" fontId="19" fillId="2" borderId="0" xfId="0" applyFont="1" applyFill="1" applyBorder="1" applyAlignment="1" applyProtection="1">
      <alignment horizontal="center" vertical="center"/>
    </xf>
    <xf numFmtId="0" fontId="19" fillId="3" borderId="0" xfId="0" applyFont="1" applyFill="1" applyBorder="1" applyAlignment="1" applyProtection="1">
      <alignment horizontal="center" vertical="center"/>
    </xf>
    <xf numFmtId="0" fontId="13" fillId="0" borderId="0" xfId="0" applyFont="1" applyFill="1" applyBorder="1" applyAlignment="1" applyProtection="1">
      <alignment horizontal="center" vertical="center"/>
    </xf>
    <xf numFmtId="0" fontId="14" fillId="0" borderId="0" xfId="0" applyFont="1" applyFill="1" applyBorder="1" applyAlignment="1" applyProtection="1">
      <alignment horizontal="center" vertical="center"/>
    </xf>
    <xf numFmtId="0" fontId="14" fillId="0" borderId="0" xfId="0" applyFont="1" applyBorder="1" applyAlignment="1" applyProtection="1">
      <alignment horizontal="center" vertical="center"/>
    </xf>
    <xf numFmtId="0" fontId="14" fillId="4" borderId="0" xfId="0" applyFont="1" applyFill="1" applyBorder="1" applyAlignment="1" applyProtection="1">
      <alignment horizontal="center" vertical="center"/>
    </xf>
    <xf numFmtId="0" fontId="19" fillId="4" borderId="0" xfId="0" applyFont="1" applyFill="1" applyBorder="1" applyAlignment="1" applyProtection="1">
      <alignment horizontal="center" vertical="center"/>
    </xf>
    <xf numFmtId="0" fontId="13" fillId="4" borderId="0" xfId="0" applyFont="1" applyFill="1" applyBorder="1" applyAlignment="1" applyProtection="1">
      <alignment horizontal="left" vertical="center" wrapText="1"/>
    </xf>
    <xf numFmtId="0" fontId="18" fillId="4" borderId="0" xfId="3" applyFont="1" applyFill="1" applyAlignment="1">
      <alignment vertical="center"/>
    </xf>
    <xf numFmtId="0" fontId="17" fillId="4" borderId="0" xfId="3" applyFont="1" applyFill="1" applyAlignment="1"/>
    <xf numFmtId="0" fontId="20" fillId="4" borderId="0" xfId="0" applyFont="1" applyFill="1" applyBorder="1" applyAlignment="1" applyProtection="1">
      <alignment horizontal="center" vertical="center"/>
    </xf>
    <xf numFmtId="3" fontId="17" fillId="0" borderId="0" xfId="4" applyNumberFormat="1" applyFont="1" applyFill="1" applyBorder="1"/>
    <xf numFmtId="0" fontId="0" fillId="0" borderId="0" xfId="0" applyAlignment="1">
      <alignment vertical="center"/>
    </xf>
    <xf numFmtId="166" fontId="14" fillId="0" borderId="0" xfId="1" applyNumberFormat="1" applyFont="1" applyFill="1" applyBorder="1" applyAlignment="1" applyProtection="1">
      <alignment vertical="center"/>
    </xf>
    <xf numFmtId="0" fontId="19" fillId="4" borderId="0" xfId="0" applyFont="1" applyFill="1" applyBorder="1" applyAlignment="1" applyProtection="1">
      <alignment horizontal="left" vertical="center"/>
    </xf>
    <xf numFmtId="3" fontId="27" fillId="0" borderId="0" xfId="0" applyNumberFormat="1" applyFont="1" applyFill="1" applyBorder="1" applyProtection="1"/>
    <xf numFmtId="0" fontId="28" fillId="0" borderId="0" xfId="0" applyFont="1" applyBorder="1" applyAlignment="1" applyProtection="1">
      <alignment horizontal="center"/>
    </xf>
    <xf numFmtId="165" fontId="14" fillId="0" borderId="0" xfId="0" applyNumberFormat="1" applyFont="1" applyFill="1" applyBorder="1" applyAlignment="1" applyProtection="1">
      <alignment horizontal="right" vertical="center"/>
    </xf>
    <xf numFmtId="165" fontId="14" fillId="4" borderId="0" xfId="0" applyNumberFormat="1" applyFont="1" applyFill="1" applyBorder="1" applyAlignment="1" applyProtection="1">
      <alignment horizontal="right" vertical="center"/>
    </xf>
    <xf numFmtId="165" fontId="19" fillId="0" borderId="0" xfId="0" applyNumberFormat="1" applyFont="1" applyFill="1" applyBorder="1" applyAlignment="1" applyProtection="1">
      <alignment horizontal="right" vertical="center"/>
    </xf>
    <xf numFmtId="0" fontId="20" fillId="4" borderId="0" xfId="0" applyFont="1" applyFill="1" applyBorder="1" applyAlignment="1" applyProtection="1">
      <alignment horizontal="right" vertical="center"/>
    </xf>
    <xf numFmtId="165" fontId="20" fillId="4" borderId="0" xfId="0" applyNumberFormat="1" applyFont="1" applyFill="1" applyBorder="1" applyAlignment="1" applyProtection="1">
      <alignment horizontal="right" vertical="center"/>
    </xf>
    <xf numFmtId="0" fontId="13" fillId="0" borderId="0" xfId="0" applyFont="1" applyFill="1" applyBorder="1" applyAlignment="1" applyProtection="1">
      <alignment vertical="center"/>
    </xf>
    <xf numFmtId="165" fontId="13" fillId="0" borderId="0" xfId="0" applyNumberFormat="1" applyFont="1" applyFill="1" applyBorder="1" applyAlignment="1" applyProtection="1">
      <alignment horizontal="right" vertical="center"/>
    </xf>
    <xf numFmtId="9" fontId="14" fillId="0" borderId="0" xfId="2" applyFont="1" applyFill="1" applyBorder="1" applyAlignment="1" applyProtection="1">
      <alignment vertical="center"/>
    </xf>
    <xf numFmtId="9" fontId="14" fillId="4" borderId="0" xfId="2" applyFont="1" applyFill="1" applyBorder="1" applyAlignment="1" applyProtection="1">
      <alignment vertical="center"/>
    </xf>
    <xf numFmtId="9" fontId="13" fillId="0" borderId="0" xfId="2" applyFont="1" applyFill="1" applyBorder="1" applyAlignment="1" applyProtection="1">
      <alignment vertical="center"/>
    </xf>
    <xf numFmtId="0" fontId="14" fillId="0" borderId="0" xfId="0" applyFont="1" applyFill="1" applyBorder="1" applyAlignment="1" applyProtection="1">
      <alignment vertical="center"/>
    </xf>
    <xf numFmtId="165" fontId="19" fillId="4" borderId="0" xfId="0" applyNumberFormat="1" applyFont="1" applyFill="1" applyBorder="1" applyAlignment="1" applyProtection="1">
      <alignment horizontal="right" vertical="center"/>
    </xf>
    <xf numFmtId="167" fontId="13" fillId="0" borderId="0" xfId="1" applyNumberFormat="1" applyFont="1" applyFill="1" applyBorder="1" applyAlignment="1" applyProtection="1">
      <alignment vertical="center"/>
    </xf>
    <xf numFmtId="167" fontId="13" fillId="4" borderId="0" xfId="1" applyNumberFormat="1" applyFont="1" applyFill="1" applyBorder="1" applyAlignment="1" applyProtection="1">
      <alignment vertical="center"/>
    </xf>
    <xf numFmtId="0" fontId="0" fillId="4" borderId="0" xfId="0" applyFill="1" applyAlignment="1">
      <alignment vertical="center"/>
    </xf>
    <xf numFmtId="165" fontId="20" fillId="0" borderId="0" xfId="0" applyNumberFormat="1" applyFont="1" applyFill="1" applyBorder="1" applyAlignment="1" applyProtection="1">
      <alignment horizontal="right"/>
    </xf>
    <xf numFmtId="167" fontId="13" fillId="0" borderId="0" xfId="1" applyNumberFormat="1" applyFont="1" applyFill="1" applyBorder="1" applyProtection="1"/>
    <xf numFmtId="4" fontId="27" fillId="0" borderId="0" xfId="0" applyNumberFormat="1" applyFont="1"/>
    <xf numFmtId="0" fontId="18" fillId="4" borderId="0" xfId="3" applyFont="1" applyFill="1" applyAlignment="1">
      <alignment horizontal="left"/>
    </xf>
    <xf numFmtId="171" fontId="0" fillId="0" borderId="0" xfId="0" applyNumberFormat="1"/>
    <xf numFmtId="0" fontId="18" fillId="4" borderId="0" xfId="3" applyFont="1" applyFill="1" applyAlignment="1">
      <alignment horizontal="left"/>
    </xf>
    <xf numFmtId="0" fontId="21" fillId="4" borderId="0" xfId="3" applyFont="1" applyFill="1" applyAlignment="1">
      <alignment horizontal="left" vertical="center"/>
    </xf>
    <xf numFmtId="0" fontId="19" fillId="4" borderId="0" xfId="0" applyNumberFormat="1" applyFont="1" applyFill="1" applyBorder="1" applyAlignment="1" applyProtection="1">
      <alignment horizontal="left" vertical="center"/>
    </xf>
    <xf numFmtId="0" fontId="19" fillId="4" borderId="0" xfId="0" applyNumberFormat="1" applyFont="1" applyFill="1" applyBorder="1" applyAlignment="1" applyProtection="1">
      <alignment horizontal="center" vertical="center"/>
    </xf>
    <xf numFmtId="0" fontId="12" fillId="4" borderId="0" xfId="0" applyNumberFormat="1" applyFont="1" applyFill="1" applyBorder="1" applyAlignment="1" applyProtection="1">
      <alignment horizontal="center" vertical="center"/>
    </xf>
    <xf numFmtId="0" fontId="22" fillId="4" borderId="0" xfId="0" applyFont="1" applyFill="1" applyBorder="1" applyAlignment="1" applyProtection="1">
      <alignment horizontal="left"/>
    </xf>
    <xf numFmtId="0" fontId="0" fillId="4" borderId="0" xfId="0" applyFill="1" applyBorder="1" applyAlignment="1">
      <alignment horizontal="left" vertical="center"/>
    </xf>
    <xf numFmtId="2" fontId="19" fillId="4" borderId="0" xfId="0" applyNumberFormat="1" applyFont="1" applyFill="1" applyBorder="1" applyAlignment="1" applyProtection="1">
      <alignment horizontal="center" vertical="center"/>
    </xf>
    <xf numFmtId="0" fontId="19" fillId="4" borderId="0" xfId="0" applyNumberFormat="1" applyFont="1" applyFill="1" applyBorder="1" applyAlignment="1" applyProtection="1">
      <alignment vertical="center"/>
    </xf>
    <xf numFmtId="165" fontId="19" fillId="4" borderId="0" xfId="0" applyNumberFormat="1" applyFont="1" applyFill="1" applyBorder="1" applyAlignment="1" applyProtection="1">
      <alignment vertical="center"/>
    </xf>
    <xf numFmtId="165" fontId="19" fillId="4" borderId="0" xfId="0" applyNumberFormat="1" applyFont="1" applyFill="1" applyBorder="1" applyAlignment="1" applyProtection="1">
      <alignment horizontal="center" vertical="center"/>
    </xf>
    <xf numFmtId="0" fontId="19" fillId="4" borderId="0" xfId="0" applyNumberFormat="1" applyFont="1" applyFill="1" applyBorder="1" applyAlignment="1" applyProtection="1">
      <alignment horizontal="center" vertical="center" wrapText="1"/>
    </xf>
    <xf numFmtId="0" fontId="22" fillId="4" borderId="0" xfId="0" applyNumberFormat="1" applyFont="1" applyFill="1" applyBorder="1" applyAlignment="1" applyProtection="1">
      <alignment horizontal="center" vertical="center" wrapText="1"/>
    </xf>
    <xf numFmtId="0" fontId="22" fillId="4" borderId="0" xfId="0" applyFont="1" applyFill="1" applyBorder="1" applyAlignment="1" applyProtection="1">
      <alignment vertical="center" wrapText="1"/>
    </xf>
    <xf numFmtId="0" fontId="0" fillId="4" borderId="0" xfId="0" applyFill="1"/>
    <xf numFmtId="169" fontId="19" fillId="4" borderId="0" xfId="0" applyNumberFormat="1" applyFont="1" applyFill="1" applyBorder="1" applyAlignment="1" applyProtection="1">
      <alignment horizontal="center" vertical="center" wrapText="1"/>
    </xf>
    <xf numFmtId="165" fontId="19" fillId="4" borderId="0" xfId="0" applyNumberFormat="1" applyFont="1" applyFill="1" applyBorder="1" applyAlignment="1" applyProtection="1">
      <alignment vertical="center" wrapText="1"/>
    </xf>
    <xf numFmtId="165" fontId="19" fillId="4" borderId="0" xfId="0" applyNumberFormat="1" applyFont="1" applyFill="1" applyBorder="1" applyAlignment="1" applyProtection="1">
      <alignment horizontal="center" vertical="center" wrapText="1"/>
    </xf>
    <xf numFmtId="169" fontId="0" fillId="0" borderId="0" xfId="0" applyNumberFormat="1"/>
    <xf numFmtId="171" fontId="19" fillId="4" borderId="0" xfId="0" applyNumberFormat="1" applyFont="1" applyFill="1" applyBorder="1" applyAlignment="1" applyProtection="1">
      <alignment horizontal="center" vertical="center" wrapText="1"/>
    </xf>
    <xf numFmtId="0" fontId="31" fillId="4" borderId="0" xfId="0" applyFont="1" applyFill="1"/>
    <xf numFmtId="0" fontId="26" fillId="4" borderId="0" xfId="0" applyFont="1" applyFill="1" applyBorder="1" applyAlignment="1">
      <alignment horizontal="right" vertical="center" wrapText="1"/>
    </xf>
    <xf numFmtId="3" fontId="32" fillId="4" borderId="0" xfId="2" applyNumberFormat="1" applyFont="1" applyFill="1" applyBorder="1" applyAlignment="1" applyProtection="1">
      <alignment horizontal="right" vertical="center" wrapText="1"/>
    </xf>
    <xf numFmtId="3" fontId="32" fillId="4" borderId="0" xfId="0" applyNumberFormat="1" applyFont="1" applyFill="1" applyBorder="1" applyAlignment="1">
      <alignment horizontal="right" vertical="center" wrapText="1"/>
    </xf>
    <xf numFmtId="3" fontId="32" fillId="4" borderId="0" xfId="2" applyNumberFormat="1" applyFont="1" applyFill="1" applyBorder="1" applyAlignment="1">
      <alignment horizontal="right" vertical="center" wrapText="1"/>
    </xf>
    <xf numFmtId="0" fontId="31" fillId="0" borderId="0" xfId="0" applyFont="1"/>
    <xf numFmtId="169" fontId="31" fillId="0" borderId="0" xfId="0" applyNumberFormat="1" applyFont="1"/>
    <xf numFmtId="0" fontId="31" fillId="0" borderId="0" xfId="0" applyFont="1" applyAlignment="1">
      <alignment horizontal="right"/>
    </xf>
    <xf numFmtId="0" fontId="18" fillId="4" borderId="0" xfId="3" applyFont="1" applyFill="1" applyAlignment="1">
      <alignment horizontal="left"/>
    </xf>
    <xf numFmtId="0" fontId="21" fillId="4" borderId="0" xfId="3" applyFont="1" applyFill="1" applyAlignment="1">
      <alignment horizontal="left" vertical="center"/>
    </xf>
    <xf numFmtId="0" fontId="13" fillId="4" borderId="0" xfId="0" applyFont="1" applyFill="1" applyBorder="1" applyAlignment="1" applyProtection="1">
      <alignment horizontal="center" vertical="center"/>
    </xf>
    <xf numFmtId="1" fontId="0" fillId="0" borderId="0" xfId="0" applyNumberFormat="1"/>
    <xf numFmtId="171" fontId="26" fillId="4" borderId="0" xfId="0" applyNumberFormat="1" applyFont="1" applyFill="1" applyBorder="1" applyAlignment="1">
      <alignment horizontal="right" vertical="center" wrapText="1"/>
    </xf>
    <xf numFmtId="3" fontId="22" fillId="4" borderId="0" xfId="0" applyNumberFormat="1" applyFont="1" applyFill="1" applyBorder="1" applyAlignment="1" applyProtection="1">
      <alignment vertical="center"/>
    </xf>
    <xf numFmtId="2" fontId="19" fillId="4" borderId="0" xfId="0" applyNumberFormat="1" applyFont="1" applyFill="1" applyBorder="1" applyAlignment="1" applyProtection="1">
      <alignment horizontal="center" vertical="center" wrapText="1"/>
    </xf>
    <xf numFmtId="0" fontId="18" fillId="4" borderId="0" xfId="3" applyFont="1" applyFill="1" applyAlignment="1">
      <alignment horizontal="left" vertical="center"/>
    </xf>
    <xf numFmtId="3" fontId="26" fillId="4" borderId="0" xfId="0" applyNumberFormat="1" applyFont="1" applyFill="1" applyBorder="1" applyAlignment="1">
      <alignment horizontal="right" vertical="center" wrapText="1"/>
    </xf>
    <xf numFmtId="3" fontId="26" fillId="4" borderId="0" xfId="0" applyNumberFormat="1" applyFont="1" applyFill="1" applyBorder="1" applyAlignment="1">
      <alignment vertical="center" wrapText="1"/>
    </xf>
    <xf numFmtId="0" fontId="20" fillId="4" borderId="0" xfId="0" applyFont="1" applyFill="1" applyBorder="1" applyAlignment="1" applyProtection="1">
      <alignment horizontal="right"/>
    </xf>
    <xf numFmtId="165" fontId="20" fillId="4" borderId="0" xfId="0" applyNumberFormat="1" applyFont="1" applyFill="1" applyBorder="1" applyAlignment="1" applyProtection="1">
      <alignment horizontal="right"/>
    </xf>
    <xf numFmtId="167" fontId="36" fillId="0" borderId="0" xfId="1" applyNumberFormat="1" applyFont="1" applyFill="1" applyBorder="1" applyAlignment="1" applyProtection="1">
      <alignment vertical="center"/>
    </xf>
    <xf numFmtId="0" fontId="25" fillId="4" borderId="0" xfId="0" applyFont="1" applyFill="1" applyBorder="1" applyProtection="1"/>
    <xf numFmtId="0" fontId="39" fillId="0" borderId="0" xfId="0" applyFont="1" applyAlignment="1">
      <alignment horizontal="center" vertical="center"/>
    </xf>
    <xf numFmtId="0" fontId="21" fillId="4" borderId="0" xfId="3" applyFont="1" applyFill="1" applyAlignment="1">
      <alignment horizontal="left" vertical="center" wrapText="1"/>
    </xf>
    <xf numFmtId="0" fontId="18" fillId="4" borderId="0" xfId="3" applyFont="1" applyFill="1" applyAlignment="1">
      <alignment horizontal="left" vertical="center" wrapText="1"/>
    </xf>
    <xf numFmtId="0" fontId="21" fillId="4" borderId="0" xfId="3" applyFont="1" applyFill="1" applyAlignment="1">
      <alignment horizontal="left" vertical="center" wrapText="1"/>
    </xf>
    <xf numFmtId="0" fontId="18" fillId="4" borderId="0" xfId="3" applyFont="1" applyFill="1" applyAlignment="1">
      <alignment horizontal="left" vertical="center" wrapText="1"/>
    </xf>
    <xf numFmtId="3" fontId="31" fillId="0" borderId="0" xfId="0" applyNumberFormat="1" applyFont="1"/>
    <xf numFmtId="176" fontId="0" fillId="0" borderId="0" xfId="0" applyNumberFormat="1"/>
    <xf numFmtId="2" fontId="0" fillId="0" borderId="0" xfId="0" applyNumberFormat="1"/>
    <xf numFmtId="10" fontId="41" fillId="0" borderId="0" xfId="0" applyNumberFormat="1" applyFont="1"/>
    <xf numFmtId="3" fontId="43" fillId="0" borderId="0" xfId="0" applyNumberFormat="1" applyFont="1"/>
    <xf numFmtId="0" fontId="43" fillId="0" borderId="0" xfId="0" applyFont="1"/>
    <xf numFmtId="4" fontId="0" fillId="0" borderId="0" xfId="0" applyNumberFormat="1"/>
    <xf numFmtId="177" fontId="43" fillId="0" borderId="0" xfId="2" applyNumberFormat="1" applyFont="1"/>
    <xf numFmtId="0" fontId="21" fillId="4" borderId="0" xfId="3" applyFont="1" applyFill="1" applyAlignment="1">
      <alignment horizontal="left" vertical="center"/>
    </xf>
    <xf numFmtId="0" fontId="22" fillId="2" borderId="0" xfId="0" applyNumberFormat="1" applyFont="1" applyFill="1" applyBorder="1" applyAlignment="1" applyProtection="1">
      <alignment horizontal="center" vertical="center" wrapText="1"/>
    </xf>
    <xf numFmtId="0" fontId="18" fillId="4" borderId="0" xfId="3" applyFont="1" applyFill="1" applyAlignment="1">
      <alignment vertical="center"/>
    </xf>
    <xf numFmtId="0" fontId="17" fillId="4" borderId="0" xfId="3" applyFont="1" applyFill="1" applyAlignment="1"/>
    <xf numFmtId="165" fontId="19" fillId="4" borderId="0" xfId="0" applyNumberFormat="1" applyFont="1" applyFill="1" applyBorder="1" applyAlignment="1" applyProtection="1">
      <alignment vertical="center" wrapText="1"/>
    </xf>
    <xf numFmtId="165" fontId="19" fillId="4" borderId="0" xfId="0" applyNumberFormat="1" applyFont="1" applyFill="1" applyBorder="1" applyAlignment="1" applyProtection="1">
      <alignment horizontal="center" vertical="center" wrapText="1"/>
    </xf>
    <xf numFmtId="0" fontId="19" fillId="2" borderId="0" xfId="0" applyNumberFormat="1" applyFont="1" applyFill="1" applyBorder="1" applyAlignment="1" applyProtection="1">
      <alignment horizontal="left" vertical="center"/>
    </xf>
    <xf numFmtId="0" fontId="21" fillId="4" borderId="0" xfId="3" applyFont="1" applyFill="1" applyAlignment="1">
      <alignment horizontal="left" vertical="center"/>
    </xf>
    <xf numFmtId="0" fontId="17" fillId="4" borderId="0" xfId="3" applyFont="1" applyFill="1" applyAlignment="1"/>
    <xf numFmtId="0" fontId="19" fillId="4" borderId="0" xfId="0" applyFont="1" applyFill="1" applyBorder="1" applyAlignment="1" applyProtection="1">
      <alignment horizontal="center" vertical="center"/>
    </xf>
    <xf numFmtId="0" fontId="13" fillId="4" borderId="0" xfId="0" applyFont="1" applyFill="1" applyBorder="1" applyAlignment="1" applyProtection="1">
      <alignment horizontal="left" vertical="center" wrapText="1"/>
    </xf>
    <xf numFmtId="0" fontId="13" fillId="2" borderId="0" xfId="0" applyFont="1" applyFill="1" applyBorder="1" applyAlignment="1" applyProtection="1">
      <alignment horizontal="left" vertical="center" wrapText="1"/>
    </xf>
    <xf numFmtId="0" fontId="20" fillId="3" borderId="0" xfId="0" applyFont="1" applyFill="1" applyBorder="1" applyAlignment="1" applyProtection="1">
      <alignment horizontal="right" vertical="center" wrapText="1"/>
    </xf>
    <xf numFmtId="0" fontId="14" fillId="4" borderId="0" xfId="0" applyFont="1" applyFill="1" applyBorder="1" applyAlignment="1" applyProtection="1">
      <alignment vertical="center"/>
    </xf>
    <xf numFmtId="0" fontId="14" fillId="0" borderId="0" xfId="0" applyFont="1" applyFill="1" applyBorder="1" applyAlignment="1" applyProtection="1">
      <alignment vertical="center"/>
    </xf>
    <xf numFmtId="0" fontId="13" fillId="4" borderId="0" xfId="0" applyFont="1" applyFill="1" applyBorder="1" applyAlignment="1" applyProtection="1">
      <alignment vertical="center"/>
    </xf>
    <xf numFmtId="0" fontId="0" fillId="0" borderId="0" xfId="0"/>
    <xf numFmtId="0" fontId="26" fillId="4" borderId="0" xfId="0" applyFont="1" applyFill="1" applyBorder="1" applyAlignment="1">
      <alignment horizontal="right" vertical="center" wrapText="1"/>
    </xf>
    <xf numFmtId="3" fontId="40" fillId="0" borderId="0" xfId="0" applyNumberFormat="1" applyFont="1" applyFill="1" applyBorder="1" applyAlignment="1" applyProtection="1">
      <alignment horizontal="center" vertical="center" wrapText="1"/>
    </xf>
    <xf numFmtId="0" fontId="21" fillId="4" borderId="0" xfId="3" applyFont="1" applyFill="1" applyAlignment="1">
      <alignment horizontal="left" vertical="center" wrapText="1"/>
    </xf>
    <xf numFmtId="0" fontId="18" fillId="4" borderId="0" xfId="3" applyFont="1" applyFill="1" applyAlignment="1">
      <alignment horizontal="left" vertical="center" wrapText="1"/>
    </xf>
    <xf numFmtId="0" fontId="0" fillId="0" borderId="0" xfId="0" applyBorder="1"/>
    <xf numFmtId="171" fontId="43" fillId="0" borderId="0" xfId="0" applyNumberFormat="1" applyFont="1"/>
    <xf numFmtId="175" fontId="0" fillId="0" borderId="0" xfId="0" applyNumberFormat="1"/>
    <xf numFmtId="9" fontId="0" fillId="0" borderId="0" xfId="2" applyFont="1"/>
    <xf numFmtId="3" fontId="40" fillId="0" borderId="0" xfId="0" applyNumberFormat="1" applyFont="1" applyFill="1" applyBorder="1" applyAlignment="1" applyProtection="1">
      <alignment vertical="center" wrapText="1"/>
    </xf>
    <xf numFmtId="0" fontId="19" fillId="6" borderId="0" xfId="0" applyFont="1" applyFill="1" applyBorder="1" applyAlignment="1" applyProtection="1">
      <alignment horizontal="left" vertical="center"/>
    </xf>
    <xf numFmtId="0" fontId="19" fillId="6" borderId="0" xfId="0" applyFont="1" applyFill="1" applyBorder="1" applyAlignment="1" applyProtection="1">
      <alignment horizontal="center" vertical="center"/>
    </xf>
    <xf numFmtId="0" fontId="19" fillId="6" borderId="0" xfId="0" applyFont="1" applyFill="1" applyBorder="1" applyAlignment="1" applyProtection="1">
      <alignment vertical="center"/>
    </xf>
    <xf numFmtId="0" fontId="19" fillId="6" borderId="0" xfId="0" applyFont="1" applyFill="1" applyBorder="1" applyAlignment="1" applyProtection="1">
      <alignment horizontal="left" vertical="center" wrapText="1"/>
    </xf>
    <xf numFmtId="0" fontId="20" fillId="6" borderId="0" xfId="0" applyFont="1" applyFill="1" applyBorder="1" applyAlignment="1" applyProtection="1">
      <alignment horizontal="right" vertical="center" wrapText="1"/>
    </xf>
    <xf numFmtId="0" fontId="20" fillId="6" borderId="0" xfId="0" applyFont="1" applyFill="1" applyBorder="1" applyAlignment="1" applyProtection="1">
      <alignment horizontal="center" vertical="center"/>
    </xf>
    <xf numFmtId="0" fontId="20" fillId="6" borderId="0" xfId="0" applyFont="1" applyFill="1" applyBorder="1" applyAlignment="1" applyProtection="1">
      <alignment horizontal="right"/>
    </xf>
    <xf numFmtId="0" fontId="20" fillId="6" borderId="0" xfId="0" applyFont="1" applyFill="1" applyBorder="1" applyAlignment="1" applyProtection="1">
      <alignment horizontal="left"/>
    </xf>
    <xf numFmtId="0" fontId="13" fillId="6" borderId="0" xfId="0" applyFont="1" applyFill="1" applyBorder="1" applyAlignment="1" applyProtection="1">
      <alignment horizontal="left" vertical="center" wrapText="1"/>
    </xf>
    <xf numFmtId="0" fontId="37" fillId="6" borderId="0" xfId="0" applyFont="1" applyFill="1" applyBorder="1" applyAlignment="1" applyProtection="1">
      <alignment horizontal="right" vertical="center" wrapText="1"/>
    </xf>
    <xf numFmtId="0" fontId="45" fillId="6" borderId="0" xfId="0" applyFont="1" applyFill="1" applyBorder="1" applyAlignment="1" applyProtection="1">
      <alignment vertical="center"/>
    </xf>
    <xf numFmtId="0" fontId="45" fillId="6" borderId="0" xfId="0" applyFont="1" applyFill="1" applyBorder="1" applyAlignment="1" applyProtection="1">
      <alignment horizontal="center" vertical="center"/>
    </xf>
    <xf numFmtId="0" fontId="14" fillId="6" borderId="0" xfId="0" applyFont="1" applyFill="1" applyBorder="1" applyAlignment="1" applyProtection="1">
      <alignment vertical="center"/>
    </xf>
    <xf numFmtId="0" fontId="14" fillId="6" borderId="0" xfId="0" applyFont="1" applyFill="1" applyBorder="1" applyAlignment="1" applyProtection="1">
      <alignment horizontal="center" vertical="center"/>
    </xf>
    <xf numFmtId="0" fontId="13" fillId="6" borderId="0" xfId="0" applyFont="1" applyFill="1" applyBorder="1" applyAlignment="1" applyProtection="1">
      <alignment vertical="center"/>
    </xf>
    <xf numFmtId="0" fontId="13" fillId="6" borderId="0" xfId="0" applyFont="1" applyFill="1" applyBorder="1" applyAlignment="1" applyProtection="1">
      <alignment horizontal="center" vertical="center"/>
    </xf>
    <xf numFmtId="0" fontId="13" fillId="6" borderId="0" xfId="0" applyFont="1" applyFill="1" applyAlignment="1">
      <alignment horizontal="center" vertical="center"/>
    </xf>
    <xf numFmtId="0" fontId="19" fillId="6" borderId="0" xfId="0" applyFont="1" applyFill="1" applyBorder="1" applyAlignment="1" applyProtection="1">
      <alignment horizontal="right" vertical="center"/>
    </xf>
    <xf numFmtId="0" fontId="35" fillId="6" borderId="0" xfId="0" applyFont="1" applyFill="1" applyBorder="1" applyAlignment="1" applyProtection="1">
      <alignment horizontal="center" vertical="center"/>
    </xf>
    <xf numFmtId="168" fontId="0" fillId="0" borderId="0" xfId="2" applyNumberFormat="1" applyFont="1"/>
    <xf numFmtId="9" fontId="0" fillId="0" borderId="0" xfId="2" applyNumberFormat="1" applyFont="1"/>
    <xf numFmtId="172" fontId="0" fillId="0" borderId="0" xfId="0" applyNumberFormat="1"/>
    <xf numFmtId="2" fontId="0" fillId="0" borderId="0" xfId="0" applyNumberFormat="1" applyAlignment="1">
      <alignment horizontal="center" vertical="center"/>
    </xf>
    <xf numFmtId="3" fontId="19" fillId="6" borderId="5" xfId="2" applyNumberFormat="1" applyFont="1" applyFill="1" applyBorder="1" applyAlignment="1" applyProtection="1">
      <alignment horizontal="right" vertical="center"/>
    </xf>
    <xf numFmtId="0" fontId="13" fillId="5" borderId="0" xfId="0" applyFont="1" applyFill="1" applyBorder="1" applyAlignment="1" applyProtection="1">
      <alignment horizontal="left" vertical="center" wrapText="1"/>
    </xf>
    <xf numFmtId="0" fontId="19" fillId="5" borderId="0" xfId="0" applyFont="1" applyFill="1" applyBorder="1" applyAlignment="1" applyProtection="1">
      <alignment horizontal="center" vertical="center"/>
    </xf>
    <xf numFmtId="3" fontId="46" fillId="5" borderId="5" xfId="2" applyNumberFormat="1" applyFont="1" applyFill="1" applyBorder="1" applyAlignment="1" applyProtection="1">
      <alignment horizontal="right" vertical="center"/>
    </xf>
    <xf numFmtId="165" fontId="12" fillId="8" borderId="5" xfId="0" applyNumberFormat="1" applyFont="1" applyFill="1" applyBorder="1" applyAlignment="1" applyProtection="1">
      <alignment horizontal="center" vertical="center"/>
    </xf>
    <xf numFmtId="3" fontId="19" fillId="7" borderId="5" xfId="2" applyNumberFormat="1" applyFont="1" applyFill="1" applyBorder="1" applyAlignment="1" applyProtection="1">
      <alignment horizontal="right" vertical="center"/>
      <protection locked="0"/>
    </xf>
    <xf numFmtId="3" fontId="14" fillId="6" borderId="5" xfId="2" applyNumberFormat="1" applyFont="1" applyFill="1" applyBorder="1" applyAlignment="1" applyProtection="1">
      <alignment horizontal="right" vertical="center"/>
    </xf>
    <xf numFmtId="3" fontId="47" fillId="6" borderId="5" xfId="2" applyNumberFormat="1" applyFont="1" applyFill="1" applyBorder="1" applyAlignment="1" applyProtection="1">
      <alignment horizontal="right" vertical="center"/>
      <protection hidden="1"/>
    </xf>
    <xf numFmtId="3" fontId="47" fillId="7" borderId="5" xfId="2" applyNumberFormat="1" applyFont="1" applyFill="1" applyBorder="1" applyAlignment="1" applyProtection="1">
      <alignment horizontal="right" vertical="center"/>
      <protection locked="0"/>
    </xf>
    <xf numFmtId="3" fontId="48" fillId="7" borderId="5" xfId="2" applyNumberFormat="1" applyFont="1" applyFill="1" applyBorder="1" applyAlignment="1" applyProtection="1">
      <alignment horizontal="right" vertical="center"/>
      <protection locked="0"/>
    </xf>
    <xf numFmtId="3" fontId="49" fillId="6" borderId="5" xfId="2" applyNumberFormat="1" applyFont="1" applyFill="1" applyBorder="1" applyAlignment="1" applyProtection="1">
      <alignment horizontal="right" vertical="center"/>
      <protection hidden="1"/>
    </xf>
    <xf numFmtId="3" fontId="49" fillId="7" borderId="5" xfId="2" applyNumberFormat="1" applyFont="1" applyFill="1" applyBorder="1" applyAlignment="1" applyProtection="1">
      <alignment horizontal="right" vertical="center"/>
      <protection locked="0"/>
    </xf>
    <xf numFmtId="10" fontId="48" fillId="7" borderId="5" xfId="2" applyNumberFormat="1" applyFont="1" applyFill="1" applyBorder="1" applyAlignment="1" applyProtection="1">
      <alignment horizontal="right" vertical="center"/>
      <protection locked="0"/>
    </xf>
    <xf numFmtId="10" fontId="49" fillId="6" borderId="5" xfId="2" applyNumberFormat="1" applyFont="1" applyFill="1" applyBorder="1" applyAlignment="1" applyProtection="1">
      <alignment horizontal="right" vertical="center"/>
      <protection hidden="1"/>
    </xf>
    <xf numFmtId="0" fontId="50" fillId="0" borderId="0" xfId="0" applyFont="1"/>
    <xf numFmtId="168" fontId="49" fillId="6" borderId="5" xfId="2" applyNumberFormat="1" applyFont="1" applyFill="1" applyBorder="1" applyAlignment="1" applyProtection="1">
      <alignment horizontal="right" vertical="center"/>
      <protection hidden="1"/>
    </xf>
    <xf numFmtId="3" fontId="51" fillId="6" borderId="5" xfId="2" applyNumberFormat="1" applyFont="1" applyFill="1" applyBorder="1" applyAlignment="1" applyProtection="1">
      <alignment horizontal="right" vertical="center"/>
      <protection hidden="1"/>
    </xf>
    <xf numFmtId="3" fontId="51" fillId="6" borderId="5" xfId="2" applyNumberFormat="1" applyFont="1" applyFill="1" applyBorder="1" applyAlignment="1" applyProtection="1">
      <alignment horizontal="right" vertical="center"/>
    </xf>
    <xf numFmtId="3" fontId="51" fillId="7" borderId="5" xfId="2" applyNumberFormat="1" applyFont="1" applyFill="1" applyBorder="1" applyAlignment="1" applyProtection="1">
      <alignment horizontal="right" vertical="center"/>
      <protection locked="0"/>
    </xf>
    <xf numFmtId="3" fontId="52" fillId="0" borderId="0" xfId="0" applyNumberFormat="1" applyFont="1"/>
    <xf numFmtId="3" fontId="53" fillId="6" borderId="5" xfId="2" applyNumberFormat="1" applyFont="1" applyFill="1" applyBorder="1" applyAlignment="1" applyProtection="1">
      <alignment horizontal="right" vertical="center"/>
      <protection hidden="1"/>
    </xf>
    <xf numFmtId="3" fontId="51" fillId="6" borderId="5" xfId="2" applyNumberFormat="1" applyFont="1" applyFill="1" applyBorder="1" applyAlignment="1" applyProtection="1">
      <alignment horizontal="right" vertical="center"/>
      <protection locked="0"/>
    </xf>
    <xf numFmtId="3" fontId="46" fillId="6" borderId="5" xfId="2" applyNumberFormat="1" applyFont="1" applyFill="1" applyBorder="1" applyAlignment="1" applyProtection="1">
      <alignment horizontal="right" vertical="center"/>
      <protection hidden="1"/>
    </xf>
    <xf numFmtId="3" fontId="53" fillId="6" borderId="5" xfId="2" applyNumberFormat="1" applyFont="1" applyFill="1" applyBorder="1" applyAlignment="1" applyProtection="1">
      <alignment horizontal="right"/>
      <protection hidden="1"/>
    </xf>
    <xf numFmtId="3" fontId="49" fillId="6" borderId="5" xfId="2" applyNumberFormat="1" applyFont="1" applyFill="1" applyBorder="1" applyAlignment="1" applyProtection="1">
      <alignment horizontal="right" vertical="center"/>
    </xf>
    <xf numFmtId="3" fontId="49" fillId="6" borderId="0" xfId="2" applyNumberFormat="1" applyFont="1" applyFill="1" applyBorder="1" applyAlignment="1" applyProtection="1">
      <alignment horizontal="right" vertical="center"/>
    </xf>
    <xf numFmtId="0" fontId="13" fillId="5" borderId="0" xfId="0" applyFont="1" applyFill="1" applyBorder="1" applyAlignment="1" applyProtection="1">
      <alignment vertical="center"/>
    </xf>
    <xf numFmtId="0" fontId="13" fillId="5" borderId="0" xfId="0" applyFont="1" applyFill="1" applyBorder="1" applyAlignment="1" applyProtection="1">
      <alignment horizontal="center" vertical="center"/>
    </xf>
    <xf numFmtId="0" fontId="13" fillId="5" borderId="0" xfId="0" applyFont="1" applyFill="1" applyBorder="1" applyAlignment="1" applyProtection="1">
      <alignment horizontal="left" vertical="center"/>
    </xf>
    <xf numFmtId="165" fontId="13" fillId="5" borderId="5" xfId="0" applyNumberFormat="1" applyFont="1" applyFill="1" applyBorder="1" applyAlignment="1" applyProtection="1">
      <alignment horizontal="right" vertical="center"/>
    </xf>
    <xf numFmtId="10" fontId="14" fillId="6" borderId="5" xfId="2" applyNumberFormat="1" applyFont="1" applyFill="1" applyBorder="1" applyAlignment="1" applyProtection="1">
      <alignment horizontal="right" vertical="center"/>
    </xf>
    <xf numFmtId="0" fontId="26" fillId="5" borderId="5" xfId="0" applyFont="1" applyFill="1" applyBorder="1" applyAlignment="1">
      <alignment horizontal="right" vertical="center" wrapText="1"/>
    </xf>
    <xf numFmtId="9" fontId="14" fillId="3" borderId="5" xfId="2" applyNumberFormat="1" applyFont="1" applyFill="1" applyBorder="1" applyAlignment="1" applyProtection="1">
      <alignment horizontal="right" vertical="center"/>
    </xf>
    <xf numFmtId="174" fontId="13" fillId="5" borderId="5" xfId="0" applyNumberFormat="1" applyFont="1" applyFill="1" applyBorder="1" applyAlignment="1" applyProtection="1">
      <alignment horizontal="right" vertical="center"/>
    </xf>
    <xf numFmtId="3" fontId="22" fillId="6" borderId="5" xfId="2" applyNumberFormat="1" applyFont="1" applyFill="1" applyBorder="1" applyAlignment="1" applyProtection="1">
      <alignment horizontal="right" vertical="center"/>
    </xf>
    <xf numFmtId="3" fontId="22" fillId="6" borderId="5" xfId="2" applyNumberFormat="1" applyFont="1" applyFill="1" applyBorder="1" applyAlignment="1" applyProtection="1">
      <alignment horizontal="right" vertical="center" wrapText="1"/>
    </xf>
    <xf numFmtId="3" fontId="14" fillId="6" borderId="5" xfId="2" applyNumberFormat="1" applyFont="1" applyFill="1" applyBorder="1" applyAlignment="1" applyProtection="1">
      <alignment horizontal="right" vertical="center" wrapText="1"/>
    </xf>
    <xf numFmtId="10" fontId="14" fillId="7" borderId="5" xfId="2" applyNumberFormat="1" applyFont="1" applyFill="1" applyBorder="1" applyAlignment="1" applyProtection="1">
      <alignment horizontal="right" vertical="center"/>
      <protection locked="0"/>
    </xf>
    <xf numFmtId="9" fontId="14" fillId="7" borderId="5" xfId="2" applyNumberFormat="1" applyFont="1" applyFill="1" applyBorder="1" applyAlignment="1" applyProtection="1">
      <alignment horizontal="right" vertical="center"/>
      <protection locked="0"/>
    </xf>
    <xf numFmtId="3" fontId="14" fillId="7" borderId="5" xfId="2" applyNumberFormat="1" applyFont="1" applyFill="1" applyBorder="1" applyAlignment="1" applyProtection="1">
      <alignment horizontal="right" vertical="center"/>
      <protection locked="0"/>
    </xf>
    <xf numFmtId="3" fontId="14" fillId="7" borderId="5" xfId="2" applyNumberFormat="1" applyFont="1" applyFill="1" applyBorder="1" applyAlignment="1" applyProtection="1">
      <alignment horizontal="right" vertical="center" wrapText="1"/>
      <protection locked="0"/>
    </xf>
    <xf numFmtId="0" fontId="35" fillId="5" borderId="0" xfId="0" applyFont="1" applyFill="1" applyBorder="1" applyAlignment="1" applyProtection="1">
      <alignment horizontal="center" vertical="center"/>
    </xf>
    <xf numFmtId="0" fontId="19" fillId="6" borderId="0" xfId="0" applyFont="1" applyFill="1" applyAlignment="1">
      <alignment horizontal="center" vertical="center"/>
    </xf>
    <xf numFmtId="2" fontId="48" fillId="5" borderId="0" xfId="2" applyNumberFormat="1" applyFont="1" applyFill="1" applyBorder="1" applyAlignment="1" applyProtection="1">
      <alignment horizontal="right" vertical="center"/>
    </xf>
    <xf numFmtId="0" fontId="19" fillId="6" borderId="0" xfId="0" applyNumberFormat="1" applyFont="1" applyFill="1" applyBorder="1" applyAlignment="1" applyProtection="1">
      <alignment horizontal="left" vertical="center"/>
    </xf>
    <xf numFmtId="0" fontId="19" fillId="6" borderId="5" xfId="0" applyNumberFormat="1" applyFont="1" applyFill="1" applyBorder="1" applyAlignment="1" applyProtection="1">
      <alignment horizontal="center" vertical="center"/>
    </xf>
    <xf numFmtId="0" fontId="19" fillId="6" borderId="5" xfId="0" applyNumberFormat="1" applyFont="1" applyFill="1" applyBorder="1" applyAlignment="1" applyProtection="1">
      <alignment horizontal="center" vertical="center" wrapText="1"/>
    </xf>
    <xf numFmtId="0" fontId="56" fillId="8" borderId="0" xfId="0" applyFont="1" applyFill="1"/>
    <xf numFmtId="2" fontId="19" fillId="6" borderId="5" xfId="0" applyNumberFormat="1" applyFont="1" applyFill="1" applyBorder="1" applyAlignment="1" applyProtection="1">
      <alignment horizontal="center" vertical="center" wrapText="1"/>
    </xf>
    <xf numFmtId="10" fontId="19" fillId="6" borderId="5" xfId="2" applyNumberFormat="1" applyFont="1" applyFill="1" applyBorder="1" applyAlignment="1" applyProtection="1">
      <alignment horizontal="center" vertical="center" wrapText="1"/>
    </xf>
    <xf numFmtId="10" fontId="19" fillId="6" borderId="11" xfId="2" applyNumberFormat="1" applyFont="1" applyFill="1" applyBorder="1" applyAlignment="1" applyProtection="1">
      <alignment horizontal="center" vertical="center" wrapText="1"/>
    </xf>
    <xf numFmtId="2" fontId="19" fillId="6" borderId="11" xfId="0" applyNumberFormat="1" applyFont="1" applyFill="1" applyBorder="1" applyAlignment="1" applyProtection="1">
      <alignment horizontal="center" vertical="center" wrapText="1"/>
    </xf>
    <xf numFmtId="10" fontId="19" fillId="6" borderId="7" xfId="2" applyNumberFormat="1" applyFont="1" applyFill="1" applyBorder="1" applyAlignment="1" applyProtection="1">
      <alignment horizontal="center" vertical="center" wrapText="1"/>
    </xf>
    <xf numFmtId="2" fontId="19" fillId="6" borderId="7" xfId="0" applyNumberFormat="1" applyFont="1" applyFill="1" applyBorder="1" applyAlignment="1" applyProtection="1">
      <alignment horizontal="center" vertical="center" wrapText="1"/>
    </xf>
    <xf numFmtId="10" fontId="19" fillId="6" borderId="10" xfId="2" applyNumberFormat="1" applyFont="1" applyFill="1" applyBorder="1" applyAlignment="1" applyProtection="1">
      <alignment horizontal="center" vertical="center" wrapText="1"/>
    </xf>
    <xf numFmtId="2" fontId="19" fillId="6" borderId="10" xfId="0" applyNumberFormat="1" applyFont="1" applyFill="1" applyBorder="1" applyAlignment="1" applyProtection="1">
      <alignment horizontal="center" vertical="center" wrapText="1"/>
    </xf>
    <xf numFmtId="2" fontId="19" fillId="6" borderId="15" xfId="0" applyNumberFormat="1" applyFont="1" applyFill="1" applyBorder="1" applyAlignment="1" applyProtection="1">
      <alignment horizontal="center" vertical="center" wrapText="1"/>
    </xf>
    <xf numFmtId="2" fontId="19" fillId="6" borderId="12" xfId="0" applyNumberFormat="1" applyFont="1" applyFill="1" applyBorder="1" applyAlignment="1" applyProtection="1">
      <alignment horizontal="center" vertical="center" wrapText="1"/>
    </xf>
    <xf numFmtId="2" fontId="19" fillId="6" borderId="13" xfId="0" applyNumberFormat="1" applyFont="1" applyFill="1" applyBorder="1" applyAlignment="1" applyProtection="1">
      <alignment horizontal="center" vertical="center" wrapText="1"/>
    </xf>
    <xf numFmtId="2" fontId="19" fillId="6" borderId="14" xfId="0" applyNumberFormat="1" applyFont="1" applyFill="1" applyBorder="1" applyAlignment="1" applyProtection="1">
      <alignment horizontal="center" vertical="center" wrapText="1"/>
    </xf>
    <xf numFmtId="165" fontId="19" fillId="2" borderId="5" xfId="0" applyNumberFormat="1" applyFont="1" applyFill="1" applyBorder="1" applyAlignment="1" applyProtection="1">
      <alignment horizontal="center" vertical="center" wrapText="1"/>
    </xf>
    <xf numFmtId="173" fontId="19" fillId="7" borderId="5" xfId="0" applyNumberFormat="1" applyFont="1" applyFill="1" applyBorder="1" applyAlignment="1" applyProtection="1">
      <alignment horizontal="center" vertical="center" wrapText="1"/>
    </xf>
    <xf numFmtId="4" fontId="19" fillId="9" borderId="5" xfId="0" applyNumberFormat="1" applyFont="1" applyFill="1" applyBorder="1" applyAlignment="1" applyProtection="1">
      <alignment horizontal="center" vertical="center" wrapText="1"/>
    </xf>
    <xf numFmtId="172" fontId="19" fillId="9" borderId="11" xfId="0" applyNumberFormat="1" applyFont="1" applyFill="1" applyBorder="1" applyAlignment="1" applyProtection="1">
      <alignment horizontal="center" vertical="center" wrapText="1"/>
    </xf>
    <xf numFmtId="172" fontId="19" fillId="9" borderId="13" xfId="0" applyNumberFormat="1" applyFont="1" applyFill="1" applyBorder="1" applyAlignment="1" applyProtection="1">
      <alignment horizontal="center" vertical="center" wrapText="1"/>
    </xf>
    <xf numFmtId="0" fontId="19" fillId="6" borderId="0" xfId="0" applyNumberFormat="1" applyFont="1" applyFill="1" applyBorder="1" applyAlignment="1" applyProtection="1">
      <alignment horizontal="left" vertical="center" wrapText="1"/>
    </xf>
    <xf numFmtId="3" fontId="19" fillId="6" borderId="5" xfId="0" applyNumberFormat="1" applyFont="1" applyFill="1" applyBorder="1" applyAlignment="1" applyProtection="1">
      <alignment horizontal="center" vertical="center" wrapText="1"/>
    </xf>
    <xf numFmtId="169" fontId="19" fillId="6" borderId="5" xfId="0" applyNumberFormat="1" applyFont="1" applyFill="1" applyBorder="1" applyAlignment="1" applyProtection="1">
      <alignment horizontal="center" vertical="center" wrapText="1"/>
    </xf>
    <xf numFmtId="169" fontId="19" fillId="6" borderId="0" xfId="0" applyNumberFormat="1" applyFont="1" applyFill="1" applyBorder="1" applyAlignment="1" applyProtection="1">
      <alignment horizontal="center" vertical="center" wrapText="1"/>
    </xf>
    <xf numFmtId="4" fontId="19" fillId="6" borderId="5" xfId="0" applyNumberFormat="1" applyFont="1" applyFill="1" applyBorder="1" applyAlignment="1" applyProtection="1">
      <alignment horizontal="center" vertical="center" wrapText="1"/>
    </xf>
    <xf numFmtId="165" fontId="19" fillId="10" borderId="5" xfId="0" applyNumberFormat="1" applyFont="1" applyFill="1" applyBorder="1" applyAlignment="1" applyProtection="1">
      <alignment horizontal="center" vertical="center" wrapText="1"/>
    </xf>
    <xf numFmtId="0" fontId="22" fillId="10" borderId="0" xfId="0" applyFont="1" applyFill="1" applyBorder="1" applyAlignment="1" applyProtection="1">
      <alignment horizontal="left"/>
    </xf>
    <xf numFmtId="0" fontId="22" fillId="10" borderId="0" xfId="0" applyFont="1" applyFill="1" applyBorder="1" applyAlignment="1" applyProtection="1">
      <alignment vertical="center"/>
    </xf>
    <xf numFmtId="2" fontId="30" fillId="10" borderId="0" xfId="0" applyNumberFormat="1" applyFont="1" applyFill="1" applyBorder="1" applyAlignment="1" applyProtection="1">
      <alignment horizontal="left"/>
    </xf>
    <xf numFmtId="2" fontId="22" fillId="10" borderId="0" xfId="0" applyNumberFormat="1" applyFont="1" applyFill="1" applyBorder="1" applyAlignment="1" applyProtection="1">
      <alignment horizontal="left"/>
    </xf>
    <xf numFmtId="0" fontId="22" fillId="10" borderId="0" xfId="0" applyFont="1" applyFill="1" applyBorder="1" applyAlignment="1" applyProtection="1">
      <alignment horizontal="center" vertical="center" wrapText="1"/>
    </xf>
    <xf numFmtId="2" fontId="22" fillId="10" borderId="0" xfId="0" applyNumberFormat="1" applyFont="1" applyFill="1" applyBorder="1" applyAlignment="1" applyProtection="1">
      <alignment horizontal="center" vertical="center" wrapText="1"/>
    </xf>
    <xf numFmtId="0" fontId="0" fillId="10" borderId="0" xfId="0" applyFill="1" applyBorder="1" applyAlignment="1">
      <alignment horizontal="center" vertical="center" wrapText="1"/>
    </xf>
    <xf numFmtId="165" fontId="19" fillId="10" borderId="10" xfId="0" applyNumberFormat="1" applyFont="1" applyFill="1" applyBorder="1" applyAlignment="1" applyProtection="1">
      <alignment horizontal="center" vertical="center" wrapText="1"/>
    </xf>
    <xf numFmtId="165" fontId="19" fillId="10" borderId="7" xfId="0" applyNumberFormat="1" applyFont="1" applyFill="1" applyBorder="1" applyAlignment="1" applyProtection="1">
      <alignment horizontal="center" vertical="center" wrapText="1"/>
    </xf>
    <xf numFmtId="0" fontId="19" fillId="7" borderId="5" xfId="0" applyNumberFormat="1" applyFont="1" applyFill="1" applyBorder="1" applyAlignment="1" applyProtection="1">
      <alignment horizontal="center" vertical="center" wrapText="1"/>
    </xf>
    <xf numFmtId="0" fontId="58" fillId="4" borderId="0" xfId="0" applyFont="1" applyFill="1" applyBorder="1" applyProtection="1"/>
    <xf numFmtId="0" fontId="59" fillId="4" borderId="0" xfId="0" applyFont="1" applyFill="1" applyBorder="1" applyProtection="1"/>
    <xf numFmtId="0" fontId="0" fillId="9" borderId="0" xfId="0" applyFill="1"/>
    <xf numFmtId="4" fontId="27" fillId="0" borderId="0" xfId="0" applyNumberFormat="1" applyFont="1" applyFill="1"/>
    <xf numFmtId="4" fontId="27" fillId="6" borderId="0" xfId="0" applyNumberFormat="1" applyFont="1" applyFill="1"/>
    <xf numFmtId="4" fontId="27" fillId="5" borderId="0" xfId="0" applyNumberFormat="1" applyFont="1" applyFill="1"/>
    <xf numFmtId="3" fontId="61" fillId="7" borderId="18" xfId="2" applyNumberFormat="1" applyFont="1" applyFill="1" applyBorder="1" applyAlignment="1" applyProtection="1">
      <alignment horizontal="center" vertical="center"/>
      <protection locked="0"/>
    </xf>
    <xf numFmtId="3" fontId="62" fillId="0" borderId="0" xfId="4" applyNumberFormat="1" applyFont="1" applyFill="1" applyBorder="1" applyAlignment="1">
      <alignment horizontal="center"/>
    </xf>
    <xf numFmtId="173" fontId="47" fillId="5" borderId="5" xfId="2" applyNumberFormat="1" applyFont="1" applyFill="1" applyBorder="1" applyAlignment="1" applyProtection="1">
      <alignment horizontal="right" vertical="center"/>
    </xf>
    <xf numFmtId="165" fontId="19" fillId="10" borderId="11" xfId="0" applyNumberFormat="1" applyFont="1" applyFill="1" applyBorder="1" applyAlignment="1" applyProtection="1">
      <alignment horizontal="center" vertical="center" wrapText="1"/>
    </xf>
    <xf numFmtId="165" fontId="19" fillId="10" borderId="5" xfId="0" applyNumberFormat="1" applyFont="1" applyFill="1" applyBorder="1" applyAlignment="1" applyProtection="1">
      <alignment horizontal="center" vertical="center" wrapText="1"/>
    </xf>
    <xf numFmtId="0" fontId="19" fillId="6" borderId="0" xfId="0" applyFont="1" applyFill="1" applyAlignment="1">
      <alignment horizontal="left" vertical="center"/>
    </xf>
    <xf numFmtId="2" fontId="19" fillId="6" borderId="5" xfId="0" applyNumberFormat="1" applyFont="1" applyFill="1" applyBorder="1" applyAlignment="1">
      <alignment horizontal="center" vertical="center" wrapText="1"/>
    </xf>
    <xf numFmtId="2" fontId="19" fillId="7" borderId="5" xfId="0" applyNumberFormat="1" applyFont="1" applyFill="1" applyBorder="1" applyAlignment="1">
      <alignment horizontal="center" vertical="center" wrapText="1"/>
    </xf>
    <xf numFmtId="3" fontId="19" fillId="7" borderId="5" xfId="0" applyNumberFormat="1" applyFont="1" applyFill="1" applyBorder="1" applyAlignment="1">
      <alignment horizontal="center" vertical="center" wrapText="1"/>
    </xf>
    <xf numFmtId="2" fontId="19" fillId="9" borderId="5" xfId="0" applyNumberFormat="1" applyFont="1" applyFill="1" applyBorder="1" applyAlignment="1">
      <alignment horizontal="center" vertical="center" wrapText="1"/>
    </xf>
    <xf numFmtId="0" fontId="20" fillId="6" borderId="21" xfId="0" applyFont="1" applyFill="1" applyBorder="1" applyAlignment="1">
      <alignment horizontal="right" vertical="center"/>
    </xf>
    <xf numFmtId="165" fontId="19" fillId="10" borderId="23" xfId="0" applyNumberFormat="1" applyFont="1" applyFill="1" applyBorder="1" applyAlignment="1" applyProtection="1">
      <alignment horizontal="center" vertical="center" wrapText="1"/>
    </xf>
    <xf numFmtId="0" fontId="19" fillId="6" borderId="21" xfId="0" applyFont="1" applyFill="1" applyBorder="1" applyAlignment="1" applyProtection="1">
      <alignment vertical="center"/>
    </xf>
    <xf numFmtId="0" fontId="19" fillId="6" borderId="24" xfId="0" applyFont="1" applyFill="1" applyBorder="1" applyAlignment="1" applyProtection="1">
      <alignment vertical="center"/>
    </xf>
    <xf numFmtId="165" fontId="19" fillId="10" borderId="15" xfId="0" applyNumberFormat="1" applyFont="1" applyFill="1" applyBorder="1" applyAlignment="1" applyProtection="1">
      <alignment horizontal="center" vertical="center" wrapText="1"/>
    </xf>
    <xf numFmtId="165" fontId="19" fillId="10" borderId="12" xfId="0" applyNumberFormat="1" applyFont="1" applyFill="1" applyBorder="1" applyAlignment="1" applyProtection="1">
      <alignment horizontal="center" vertical="center" wrapText="1"/>
    </xf>
    <xf numFmtId="165" fontId="19" fillId="10" borderId="13" xfId="0" applyNumberFormat="1" applyFont="1" applyFill="1" applyBorder="1" applyAlignment="1" applyProtection="1">
      <alignment horizontal="center" vertical="center" wrapText="1"/>
    </xf>
    <xf numFmtId="2" fontId="19" fillId="6" borderId="17" xfId="0" applyNumberFormat="1" applyFont="1" applyFill="1" applyBorder="1" applyAlignment="1" applyProtection="1">
      <alignment horizontal="center" vertical="center" wrapText="1"/>
    </xf>
    <xf numFmtId="2" fontId="19" fillId="6" borderId="8" xfId="0" applyNumberFormat="1" applyFont="1" applyFill="1" applyBorder="1" applyAlignment="1" applyProtection="1">
      <alignment horizontal="center" vertical="center" wrapText="1"/>
    </xf>
    <xf numFmtId="2" fontId="19" fillId="6" borderId="16" xfId="0" applyNumberFormat="1" applyFont="1" applyFill="1" applyBorder="1" applyAlignment="1" applyProtection="1">
      <alignment horizontal="center" vertical="center" wrapText="1"/>
    </xf>
    <xf numFmtId="10" fontId="0" fillId="0" borderId="0" xfId="0" applyNumberFormat="1"/>
    <xf numFmtId="0" fontId="19" fillId="6" borderId="21" xfId="0" applyFont="1" applyFill="1" applyBorder="1" applyAlignment="1">
      <alignment vertical="center"/>
    </xf>
    <xf numFmtId="10" fontId="19" fillId="6" borderId="23" xfId="2" applyNumberFormat="1" applyFont="1" applyFill="1" applyBorder="1" applyAlignment="1" applyProtection="1">
      <alignment horizontal="center" vertical="center" wrapText="1"/>
    </xf>
    <xf numFmtId="2" fontId="19" fillId="6" borderId="23" xfId="0" applyNumberFormat="1" applyFont="1" applyFill="1" applyBorder="1" applyAlignment="1" applyProtection="1">
      <alignment horizontal="center" vertical="center" wrapText="1"/>
    </xf>
    <xf numFmtId="2" fontId="19" fillId="6" borderId="30" xfId="0" applyNumberFormat="1" applyFont="1" applyFill="1" applyBorder="1" applyAlignment="1" applyProtection="1">
      <alignment horizontal="center" vertical="center" wrapText="1"/>
    </xf>
    <xf numFmtId="172" fontId="19" fillId="9" borderId="25" xfId="0" applyNumberFormat="1" applyFont="1" applyFill="1" applyBorder="1" applyAlignment="1" applyProtection="1">
      <alignment horizontal="center" vertical="center" wrapText="1"/>
    </xf>
    <xf numFmtId="2" fontId="19" fillId="6" borderId="26" xfId="0" applyNumberFormat="1" applyFont="1" applyFill="1" applyBorder="1" applyAlignment="1" applyProtection="1">
      <alignment horizontal="center" vertical="center" wrapText="1"/>
    </xf>
    <xf numFmtId="2" fontId="19" fillId="6" borderId="27" xfId="0" applyNumberFormat="1" applyFont="1" applyFill="1" applyBorder="1" applyAlignment="1" applyProtection="1">
      <alignment horizontal="center" vertical="center" wrapText="1"/>
    </xf>
    <xf numFmtId="2" fontId="19" fillId="6" borderId="25" xfId="0" applyNumberFormat="1" applyFont="1" applyFill="1" applyBorder="1" applyAlignment="1" applyProtection="1">
      <alignment horizontal="center" vertical="center" wrapText="1"/>
    </xf>
    <xf numFmtId="2" fontId="19" fillId="6" borderId="31" xfId="0" applyNumberFormat="1" applyFont="1" applyFill="1" applyBorder="1" applyAlignment="1" applyProtection="1">
      <alignment horizontal="center" vertical="center" wrapText="1"/>
    </xf>
    <xf numFmtId="2" fontId="19" fillId="6" borderId="28" xfId="0" applyNumberFormat="1" applyFont="1" applyFill="1" applyBorder="1" applyAlignment="1" applyProtection="1">
      <alignment horizontal="center" vertical="center" wrapText="1"/>
    </xf>
    <xf numFmtId="2" fontId="22" fillId="6" borderId="19" xfId="2" applyNumberFormat="1" applyFont="1" applyFill="1" applyBorder="1" applyAlignment="1" applyProtection="1">
      <alignment horizontal="right" vertical="center"/>
      <protection locked="0"/>
    </xf>
    <xf numFmtId="165" fontId="12" fillId="8" borderId="19" xfId="0" applyNumberFormat="1" applyFont="1" applyFill="1" applyBorder="1" applyAlignment="1" applyProtection="1">
      <alignment horizontal="center" vertical="center"/>
    </xf>
    <xf numFmtId="165" fontId="55" fillId="8" borderId="19" xfId="0" applyNumberFormat="1" applyFont="1" applyFill="1" applyBorder="1" applyAlignment="1" applyProtection="1">
      <alignment horizontal="center" vertical="center"/>
    </xf>
    <xf numFmtId="170" fontId="54" fillId="8" borderId="19" xfId="2" applyNumberFormat="1" applyFont="1" applyFill="1" applyBorder="1" applyAlignment="1" applyProtection="1">
      <alignment horizontal="right" vertical="center"/>
    </xf>
    <xf numFmtId="165" fontId="54" fillId="8" borderId="19" xfId="0" applyNumberFormat="1" applyFont="1" applyFill="1" applyBorder="1" applyAlignment="1" applyProtection="1">
      <alignment horizontal="right" vertical="center"/>
    </xf>
    <xf numFmtId="0" fontId="13" fillId="5" borderId="32" xfId="0" applyFont="1" applyFill="1" applyBorder="1" applyAlignment="1" applyProtection="1">
      <alignment horizontal="left" vertical="center"/>
    </xf>
    <xf numFmtId="0" fontId="13" fillId="5" borderId="33" xfId="0" applyFont="1" applyFill="1" applyBorder="1" applyAlignment="1" applyProtection="1">
      <alignment horizontal="center" vertical="center"/>
    </xf>
    <xf numFmtId="165" fontId="13" fillId="0" borderId="33" xfId="0" applyNumberFormat="1" applyFont="1" applyFill="1" applyBorder="1" applyAlignment="1" applyProtection="1">
      <alignment horizontal="right" vertical="center"/>
    </xf>
    <xf numFmtId="165" fontId="12" fillId="8" borderId="34" xfId="0" applyNumberFormat="1" applyFont="1" applyFill="1" applyBorder="1" applyAlignment="1" applyProtection="1">
      <alignment horizontal="center" vertical="center"/>
    </xf>
    <xf numFmtId="0" fontId="13" fillId="5" borderId="35" xfId="0" applyFont="1" applyFill="1" applyBorder="1" applyAlignment="1" applyProtection="1">
      <alignment horizontal="left" vertical="center"/>
    </xf>
    <xf numFmtId="0" fontId="19" fillId="6" borderId="35" xfId="0" applyFont="1" applyFill="1" applyBorder="1" applyAlignment="1" applyProtection="1">
      <alignment vertical="center"/>
    </xf>
    <xf numFmtId="0" fontId="35" fillId="6" borderId="35" xfId="0" applyFont="1" applyFill="1" applyBorder="1" applyAlignment="1" applyProtection="1">
      <alignment horizontal="right" vertical="center"/>
    </xf>
    <xf numFmtId="0" fontId="19" fillId="6" borderId="36" xfId="0" applyFont="1" applyFill="1" applyBorder="1" applyAlignment="1" applyProtection="1">
      <alignment vertical="center"/>
    </xf>
    <xf numFmtId="0" fontId="14" fillId="6" borderId="37" xfId="0" applyFont="1" applyFill="1" applyBorder="1" applyAlignment="1" applyProtection="1">
      <alignment horizontal="center" vertical="center"/>
    </xf>
    <xf numFmtId="167" fontId="13" fillId="0" borderId="37" xfId="1" applyNumberFormat="1" applyFont="1" applyFill="1" applyBorder="1" applyAlignment="1" applyProtection="1">
      <alignment vertical="center"/>
    </xf>
    <xf numFmtId="2" fontId="22" fillId="6" borderId="38" xfId="2" applyNumberFormat="1" applyFont="1" applyFill="1" applyBorder="1" applyAlignment="1" applyProtection="1">
      <alignment horizontal="right" vertical="center"/>
      <protection locked="0"/>
    </xf>
    <xf numFmtId="165" fontId="12" fillId="8" borderId="39" xfId="0" applyNumberFormat="1" applyFont="1" applyFill="1" applyBorder="1" applyAlignment="1" applyProtection="1">
      <alignment horizontal="center" vertical="center"/>
    </xf>
    <xf numFmtId="165" fontId="12" fillId="8" borderId="40" xfId="0" applyNumberFormat="1" applyFont="1" applyFill="1" applyBorder="1" applyAlignment="1" applyProtection="1">
      <alignment horizontal="center" vertical="center"/>
    </xf>
    <xf numFmtId="2" fontId="22" fillId="6" borderId="40" xfId="2" applyNumberFormat="1" applyFont="1" applyFill="1" applyBorder="1" applyAlignment="1" applyProtection="1">
      <alignment horizontal="right" vertical="center"/>
      <protection locked="0"/>
    </xf>
    <xf numFmtId="165" fontId="55" fillId="8" borderId="40" xfId="0" applyNumberFormat="1" applyFont="1" applyFill="1" applyBorder="1" applyAlignment="1" applyProtection="1">
      <alignment horizontal="center" vertical="center"/>
    </xf>
    <xf numFmtId="170" fontId="54" fillId="8" borderId="40" xfId="2" applyNumberFormat="1" applyFont="1" applyFill="1" applyBorder="1" applyAlignment="1" applyProtection="1">
      <alignment horizontal="right" vertical="center"/>
    </xf>
    <xf numFmtId="165" fontId="54" fillId="8" borderId="40" xfId="0" applyNumberFormat="1" applyFont="1" applyFill="1" applyBorder="1" applyAlignment="1" applyProtection="1">
      <alignment horizontal="right" vertical="center"/>
    </xf>
    <xf numFmtId="2" fontId="22" fillId="6" borderId="41" xfId="2" applyNumberFormat="1" applyFont="1" applyFill="1" applyBorder="1" applyAlignment="1" applyProtection="1">
      <alignment horizontal="right" vertical="center"/>
      <protection locked="0"/>
    </xf>
    <xf numFmtId="2" fontId="22" fillId="6" borderId="20" xfId="2" applyNumberFormat="1" applyFont="1" applyFill="1" applyBorder="1" applyAlignment="1" applyProtection="1">
      <alignment horizontal="right" vertical="center"/>
      <protection locked="0"/>
    </xf>
    <xf numFmtId="2" fontId="20" fillId="6" borderId="40" xfId="2" applyNumberFormat="1" applyFont="1" applyFill="1" applyBorder="1" applyAlignment="1" applyProtection="1">
      <alignment horizontal="right" vertical="center"/>
      <protection locked="0"/>
    </xf>
    <xf numFmtId="2" fontId="20" fillId="6" borderId="1" xfId="2" applyNumberFormat="1" applyFont="1" applyFill="1" applyBorder="1" applyAlignment="1" applyProtection="1">
      <alignment horizontal="right" vertical="center"/>
      <protection locked="0"/>
    </xf>
    <xf numFmtId="0" fontId="13" fillId="5" borderId="2" xfId="0" applyFont="1" applyFill="1" applyBorder="1" applyAlignment="1" applyProtection="1">
      <alignment horizontal="left" vertical="center"/>
    </xf>
    <xf numFmtId="0" fontId="35" fillId="5" borderId="3" xfId="0" applyFont="1" applyFill="1" applyBorder="1" applyAlignment="1" applyProtection="1">
      <alignment horizontal="center" vertical="center"/>
    </xf>
    <xf numFmtId="167" fontId="36" fillId="0" borderId="3" xfId="1" applyNumberFormat="1" applyFont="1" applyFill="1" applyBorder="1" applyAlignment="1" applyProtection="1">
      <alignment vertical="center"/>
    </xf>
    <xf numFmtId="165" fontId="57" fillId="5" borderId="3" xfId="0" applyNumberFormat="1" applyFont="1" applyFill="1" applyBorder="1" applyAlignment="1" applyProtection="1">
      <alignment horizontal="center" vertical="center"/>
    </xf>
    <xf numFmtId="165" fontId="57" fillId="5" borderId="4" xfId="0" applyNumberFormat="1" applyFont="1" applyFill="1" applyBorder="1" applyAlignment="1" applyProtection="1">
      <alignment horizontal="center" vertical="center"/>
    </xf>
    <xf numFmtId="0" fontId="13" fillId="5" borderId="42" xfId="0" applyFont="1" applyFill="1" applyBorder="1" applyAlignment="1" applyProtection="1">
      <alignment horizontal="left" vertical="center"/>
    </xf>
    <xf numFmtId="2" fontId="48" fillId="5" borderId="43" xfId="2" applyNumberFormat="1" applyFont="1" applyFill="1" applyBorder="1" applyAlignment="1" applyProtection="1">
      <alignment horizontal="right" vertical="center"/>
    </xf>
    <xf numFmtId="0" fontId="19" fillId="6" borderId="44" xfId="0" applyFont="1" applyFill="1" applyBorder="1" applyAlignment="1" applyProtection="1">
      <alignment vertical="center"/>
    </xf>
    <xf numFmtId="0" fontId="14" fillId="6" borderId="45" xfId="0" applyFont="1" applyFill="1" applyBorder="1" applyAlignment="1" applyProtection="1">
      <alignment horizontal="center" vertical="center"/>
    </xf>
    <xf numFmtId="167" fontId="13" fillId="0" borderId="45" xfId="1" applyNumberFormat="1" applyFont="1" applyFill="1" applyBorder="1" applyAlignment="1" applyProtection="1">
      <alignment vertical="center"/>
    </xf>
    <xf numFmtId="2" fontId="19" fillId="6" borderId="46" xfId="2" applyNumberFormat="1" applyFont="1" applyFill="1" applyBorder="1" applyAlignment="1" applyProtection="1">
      <alignment horizontal="right" vertical="center"/>
      <protection locked="0"/>
    </xf>
    <xf numFmtId="2" fontId="19" fillId="6" borderId="47" xfId="2" applyNumberFormat="1" applyFont="1" applyFill="1" applyBorder="1" applyAlignment="1" applyProtection="1">
      <alignment horizontal="right" vertical="center"/>
      <protection locked="0"/>
    </xf>
    <xf numFmtId="4" fontId="51" fillId="6" borderId="5" xfId="2" applyNumberFormat="1" applyFont="1" applyFill="1" applyBorder="1" applyAlignment="1" applyProtection="1">
      <alignment horizontal="right" vertical="center"/>
      <protection locked="0"/>
    </xf>
    <xf numFmtId="0" fontId="19" fillId="6" borderId="0" xfId="0" applyFont="1" applyFill="1" applyBorder="1" applyAlignment="1" applyProtection="1">
      <alignment vertical="top" wrapText="1"/>
    </xf>
    <xf numFmtId="173" fontId="46" fillId="5" borderId="5" xfId="2" applyNumberFormat="1" applyFont="1" applyFill="1" applyBorder="1" applyAlignment="1" applyProtection="1">
      <alignment horizontal="right" vertical="center"/>
    </xf>
    <xf numFmtId="9" fontId="43" fillId="0" borderId="0" xfId="2" applyFont="1"/>
    <xf numFmtId="165" fontId="19" fillId="10" borderId="11" xfId="0" applyNumberFormat="1" applyFont="1" applyFill="1" applyBorder="1" applyAlignment="1" applyProtection="1">
      <alignment horizontal="center" vertical="center" wrapText="1"/>
    </xf>
    <xf numFmtId="165" fontId="19" fillId="10" borderId="5" xfId="0" applyNumberFormat="1" applyFont="1" applyFill="1" applyBorder="1" applyAlignment="1" applyProtection="1">
      <alignment horizontal="center" vertical="center" wrapText="1"/>
    </xf>
    <xf numFmtId="165" fontId="12" fillId="8" borderId="49" xfId="0" applyNumberFormat="1" applyFont="1" applyFill="1" applyBorder="1" applyAlignment="1" applyProtection="1">
      <alignment horizontal="center" vertical="center"/>
    </xf>
    <xf numFmtId="165" fontId="12" fillId="8" borderId="50" xfId="0" applyNumberFormat="1" applyFont="1" applyFill="1" applyBorder="1" applyAlignment="1" applyProtection="1">
      <alignment horizontal="center" vertical="center"/>
    </xf>
    <xf numFmtId="2" fontId="22" fillId="6" borderId="50" xfId="2" applyNumberFormat="1" applyFont="1" applyFill="1" applyBorder="1" applyAlignment="1" applyProtection="1">
      <alignment horizontal="right" vertical="center"/>
      <protection locked="0"/>
    </xf>
    <xf numFmtId="2" fontId="20" fillId="6" borderId="51" xfId="2" applyNumberFormat="1" applyFont="1" applyFill="1" applyBorder="1" applyAlignment="1" applyProtection="1">
      <alignment horizontal="right" vertical="center"/>
      <protection locked="0"/>
    </xf>
    <xf numFmtId="2" fontId="22" fillId="6" borderId="52" xfId="2" applyNumberFormat="1" applyFont="1" applyFill="1" applyBorder="1" applyAlignment="1" applyProtection="1">
      <alignment horizontal="right" vertical="center"/>
      <protection locked="0"/>
    </xf>
    <xf numFmtId="170" fontId="54" fillId="8" borderId="50" xfId="2" applyNumberFormat="1" applyFont="1" applyFill="1" applyBorder="1" applyAlignment="1" applyProtection="1">
      <alignment horizontal="right" vertical="center"/>
    </xf>
    <xf numFmtId="165" fontId="54" fillId="8" borderId="50" xfId="0" applyNumberFormat="1" applyFont="1" applyFill="1" applyBorder="1" applyAlignment="1" applyProtection="1">
      <alignment horizontal="right" vertical="center"/>
    </xf>
    <xf numFmtId="2" fontId="22" fillId="6" borderId="53" xfId="2" applyNumberFormat="1" applyFont="1" applyFill="1" applyBorder="1" applyAlignment="1" applyProtection="1">
      <alignment horizontal="right" vertical="center"/>
      <protection locked="0"/>
    </xf>
    <xf numFmtId="2" fontId="19" fillId="6" borderId="11" xfId="0" applyNumberFormat="1" applyFont="1" applyFill="1" applyBorder="1" applyAlignment="1">
      <alignment horizontal="center" vertical="center" wrapText="1"/>
    </xf>
    <xf numFmtId="2" fontId="19" fillId="6" borderId="23" xfId="0" applyNumberFormat="1" applyFont="1" applyFill="1" applyBorder="1" applyAlignment="1">
      <alignment horizontal="center" vertical="center" wrapText="1"/>
    </xf>
    <xf numFmtId="2" fontId="19" fillId="6" borderId="27" xfId="0" applyNumberFormat="1" applyFont="1" applyFill="1" applyBorder="1" applyAlignment="1">
      <alignment horizontal="center" vertical="center" wrapText="1"/>
    </xf>
    <xf numFmtId="2" fontId="19" fillId="6" borderId="25" xfId="0" applyNumberFormat="1" applyFont="1" applyFill="1" applyBorder="1" applyAlignment="1">
      <alignment horizontal="center" vertical="center" wrapText="1"/>
    </xf>
    <xf numFmtId="2" fontId="19" fillId="6" borderId="28" xfId="0" applyNumberFormat="1" applyFont="1" applyFill="1" applyBorder="1" applyAlignment="1">
      <alignment horizontal="center" vertical="center" wrapText="1"/>
    </xf>
    <xf numFmtId="0" fontId="19" fillId="6" borderId="35" xfId="0" applyFont="1" applyFill="1" applyBorder="1" applyAlignment="1">
      <alignment vertical="center"/>
    </xf>
    <xf numFmtId="3" fontId="65" fillId="0" borderId="0" xfId="0" applyNumberFormat="1" applyFont="1"/>
    <xf numFmtId="4" fontId="31" fillId="0" borderId="0" xfId="0" applyNumberFormat="1" applyFont="1"/>
    <xf numFmtId="171" fontId="22" fillId="6" borderId="40" xfId="2" applyNumberFormat="1" applyFont="1" applyFill="1" applyBorder="1" applyAlignment="1" applyProtection="1">
      <alignment horizontal="right" vertical="center"/>
      <protection locked="0"/>
    </xf>
    <xf numFmtId="171" fontId="22" fillId="6" borderId="50" xfId="2" applyNumberFormat="1" applyFont="1" applyFill="1" applyBorder="1" applyAlignment="1" applyProtection="1">
      <alignment horizontal="right" vertical="center"/>
      <protection locked="0"/>
    </xf>
    <xf numFmtId="3" fontId="62" fillId="0" borderId="0" xfId="4" applyNumberFormat="1" applyFont="1" applyFill="1" applyBorder="1" applyAlignment="1">
      <alignment horizontal="center"/>
    </xf>
    <xf numFmtId="0" fontId="20" fillId="6" borderId="0" xfId="0" applyFont="1" applyFill="1" applyBorder="1" applyAlignment="1" applyProtection="1">
      <alignment horizontal="right" vertical="center" wrapText="1"/>
    </xf>
    <xf numFmtId="0" fontId="39" fillId="0" borderId="0" xfId="0" applyFont="1" applyAlignment="1">
      <alignment horizontal="center" vertical="center" wrapText="1"/>
    </xf>
    <xf numFmtId="0" fontId="21" fillId="4" borderId="0" xfId="3" applyFont="1" applyFill="1" applyAlignment="1">
      <alignment horizontal="left" vertical="center" wrapText="1"/>
    </xf>
    <xf numFmtId="0" fontId="18" fillId="4" borderId="0" xfId="3" applyFont="1" applyFill="1" applyAlignment="1">
      <alignment horizontal="left" vertical="center" wrapText="1"/>
    </xf>
    <xf numFmtId="0" fontId="29" fillId="10" borderId="0" xfId="0" applyFont="1" applyFill="1" applyBorder="1" applyAlignment="1" applyProtection="1">
      <alignment horizontal="left" vertical="center" wrapText="1"/>
    </xf>
    <xf numFmtId="0" fontId="64" fillId="10" borderId="48" xfId="0" applyFont="1" applyFill="1" applyBorder="1" applyAlignment="1" applyProtection="1">
      <alignment horizontal="center" vertical="center" wrapText="1"/>
    </xf>
    <xf numFmtId="165" fontId="19" fillId="10" borderId="0" xfId="0" applyNumberFormat="1" applyFont="1" applyFill="1" applyBorder="1" applyAlignment="1" applyProtection="1">
      <alignment horizontal="left" vertical="center" wrapText="1"/>
    </xf>
    <xf numFmtId="165" fontId="19" fillId="10" borderId="5" xfId="0" applyNumberFormat="1" applyFont="1" applyFill="1" applyBorder="1" applyAlignment="1" applyProtection="1">
      <alignment horizontal="center" vertical="center" wrapText="1"/>
    </xf>
    <xf numFmtId="165" fontId="12" fillId="8" borderId="21" xfId="0" applyNumberFormat="1" applyFont="1" applyFill="1" applyBorder="1" applyAlignment="1" applyProtection="1">
      <alignment horizontal="center" vertical="center"/>
    </xf>
    <xf numFmtId="165" fontId="12" fillId="8" borderId="0" xfId="0" applyNumberFormat="1" applyFont="1" applyFill="1" applyBorder="1" applyAlignment="1" applyProtection="1">
      <alignment horizontal="center" vertical="center"/>
    </xf>
    <xf numFmtId="165" fontId="12" fillId="8" borderId="29" xfId="0" applyNumberFormat="1" applyFont="1" applyFill="1" applyBorder="1" applyAlignment="1" applyProtection="1">
      <alignment horizontal="center" vertical="center"/>
    </xf>
    <xf numFmtId="165" fontId="19" fillId="10" borderId="16" xfId="0" applyNumberFormat="1" applyFont="1" applyFill="1" applyBorder="1" applyAlignment="1" applyProtection="1">
      <alignment horizontal="center" vertical="center" wrapText="1"/>
    </xf>
    <xf numFmtId="165" fontId="19" fillId="10" borderId="11" xfId="0" applyNumberFormat="1" applyFont="1" applyFill="1" applyBorder="1" applyAlignment="1" applyProtection="1">
      <alignment horizontal="center" vertical="center" wrapText="1"/>
    </xf>
    <xf numFmtId="165" fontId="19" fillId="10" borderId="9" xfId="0" applyNumberFormat="1" applyFont="1" applyFill="1" applyBorder="1" applyAlignment="1" applyProtection="1">
      <alignment horizontal="center" vertical="center" wrapText="1"/>
    </xf>
    <xf numFmtId="165" fontId="22" fillId="10" borderId="17" xfId="0" applyNumberFormat="1" applyFont="1" applyFill="1" applyBorder="1" applyAlignment="1" applyProtection="1">
      <alignment horizontal="center" vertical="center" wrapText="1"/>
    </xf>
    <xf numFmtId="165" fontId="22" fillId="10" borderId="8" xfId="0" applyNumberFormat="1" applyFont="1" applyFill="1" applyBorder="1" applyAlignment="1" applyProtection="1">
      <alignment horizontal="center" vertical="center" wrapText="1"/>
    </xf>
    <xf numFmtId="165" fontId="22" fillId="10" borderId="16" xfId="0" applyNumberFormat="1" applyFont="1" applyFill="1" applyBorder="1" applyAlignment="1" applyProtection="1">
      <alignment horizontal="center" vertical="center" wrapText="1"/>
    </xf>
    <xf numFmtId="165" fontId="22" fillId="10" borderId="6" xfId="0" applyNumberFormat="1" applyFont="1" applyFill="1" applyBorder="1" applyAlignment="1" applyProtection="1">
      <alignment horizontal="center" vertical="center" wrapText="1"/>
    </xf>
    <xf numFmtId="165" fontId="22" fillId="10" borderId="22" xfId="0" applyNumberFormat="1" applyFont="1" applyFill="1" applyBorder="1" applyAlignment="1" applyProtection="1">
      <alignment horizontal="center" vertical="center" wrapText="1"/>
    </xf>
    <xf numFmtId="165" fontId="19" fillId="10" borderId="0" xfId="0" applyNumberFormat="1" applyFont="1" applyFill="1" applyBorder="1" applyAlignment="1" applyProtection="1">
      <alignment horizontal="center" vertical="center" wrapText="1"/>
    </xf>
    <xf numFmtId="0" fontId="54" fillId="8" borderId="0" xfId="0" applyFont="1" applyFill="1" applyBorder="1" applyAlignment="1" applyProtection="1">
      <alignment horizontal="left" vertical="center"/>
    </xf>
    <xf numFmtId="165" fontId="22" fillId="10" borderId="5" xfId="0" applyNumberFormat="1" applyFont="1" applyFill="1" applyBorder="1" applyAlignment="1" applyProtection="1">
      <alignment horizontal="center" vertical="center" wrapText="1"/>
    </xf>
    <xf numFmtId="3" fontId="22" fillId="10" borderId="5" xfId="0" applyNumberFormat="1" applyFont="1" applyFill="1" applyBorder="1" applyAlignment="1" applyProtection="1">
      <alignment horizontal="center" vertical="center" wrapText="1"/>
    </xf>
    <xf numFmtId="165" fontId="19" fillId="10" borderId="5" xfId="0" applyNumberFormat="1" applyFont="1" applyFill="1" applyBorder="1" applyAlignment="1" applyProtection="1">
      <alignment horizontal="center" vertical="center"/>
    </xf>
    <xf numFmtId="0" fontId="22" fillId="10" borderId="0" xfId="0" applyFont="1" applyFill="1" applyBorder="1" applyAlignment="1" applyProtection="1">
      <alignment horizontal="left"/>
    </xf>
    <xf numFmtId="165" fontId="19" fillId="2" borderId="5" xfId="0" applyNumberFormat="1" applyFont="1" applyFill="1" applyBorder="1" applyAlignment="1" applyProtection="1">
      <alignment horizontal="center" vertical="center" wrapText="1"/>
    </xf>
    <xf numFmtId="0" fontId="22" fillId="2" borderId="0" xfId="0" applyFont="1" applyFill="1" applyBorder="1" applyAlignment="1" applyProtection="1">
      <alignment horizontal="left" vertical="center" wrapText="1"/>
    </xf>
    <xf numFmtId="165" fontId="19" fillId="2" borderId="0" xfId="0" applyNumberFormat="1" applyFont="1" applyFill="1" applyBorder="1" applyAlignment="1" applyProtection="1">
      <alignment horizontal="left" vertical="center" wrapText="1"/>
    </xf>
  </cellXfs>
  <cellStyles count="38">
    <cellStyle name="Comma" xfId="1" builtinId="3"/>
    <cellStyle name="Comma 2" xfId="14" xr:uid="{7EB75E83-969A-45B2-9CE1-473F6ABE58E9}"/>
    <cellStyle name="Normal" xfId="0" builtinId="0"/>
    <cellStyle name="Normal 12" xfId="16" xr:uid="{009CF539-0B0C-43F7-B0D5-FAA08DF4A915}"/>
    <cellStyle name="Normal 2" xfId="5" xr:uid="{00000000-0005-0000-0000-000002000000}"/>
    <cellStyle name="Normal 2 2" xfId="3" xr:uid="{00000000-0005-0000-0000-000003000000}"/>
    <cellStyle name="Normal 2 3" xfId="8" xr:uid="{00000000-0005-0000-0000-000004000000}"/>
    <cellStyle name="Normal 2 4" xfId="17" xr:uid="{929CF9C1-09C2-4FF1-82E4-45276EC7D103}"/>
    <cellStyle name="Normal 2 4 2" xfId="31" xr:uid="{041816BF-F699-447B-819F-26CFFE5054FB}"/>
    <cellStyle name="Normal 2 5" xfId="24" xr:uid="{E1980246-8345-4FEF-B443-B46FEE4979FA}"/>
    <cellStyle name="Normal 3" xfId="6" xr:uid="{00000000-0005-0000-0000-000005000000}"/>
    <cellStyle name="Normal 3 2" xfId="9" xr:uid="{00000000-0005-0000-0000-000006000000}"/>
    <cellStyle name="Normal 3 3" xfId="18" xr:uid="{F255A276-F220-49DB-B96B-15CB01470326}"/>
    <cellStyle name="Normal 3 3 2" xfId="32" xr:uid="{F73BEED2-302A-4A44-86FF-3127618A7CC7}"/>
    <cellStyle name="Normal 3 4" xfId="25" xr:uid="{6E87CEE3-EF4B-4455-B286-529B43980C05}"/>
    <cellStyle name="Normal 4" xfId="4" xr:uid="{00000000-0005-0000-0000-000007000000}"/>
    <cellStyle name="Normal 5" xfId="10" xr:uid="{00000000-0005-0000-0000-000008000000}"/>
    <cellStyle name="Normal 5 2" xfId="20" xr:uid="{E0805B0C-19BE-4256-8265-893377500DE5}"/>
    <cellStyle name="Normal 5 2 2" xfId="34" xr:uid="{EAFEA99E-FAEF-4E8C-A038-71D3ABD855CF}"/>
    <cellStyle name="Normal 5 3" xfId="27" xr:uid="{316E1134-5C68-4E34-9B60-3369DFFC2253}"/>
    <cellStyle name="Normal 6" xfId="11" xr:uid="{00000000-0005-0000-0000-000009000000}"/>
    <cellStyle name="Normal 6 2" xfId="21" xr:uid="{5783EF08-4291-44DF-9C8A-B2686E3D5FB4}"/>
    <cellStyle name="Normal 6 2 2" xfId="35" xr:uid="{9E488CC3-7A30-4988-9F58-00133AFC8004}"/>
    <cellStyle name="Normal 6 3" xfId="28" xr:uid="{04AA072E-E0CF-4920-B2D3-9D12B253E09E}"/>
    <cellStyle name="Normal 7" xfId="12" xr:uid="{00000000-0005-0000-0000-00000A000000}"/>
    <cellStyle name="Normal 7 2" xfId="22" xr:uid="{8144EFC5-F6E3-48C4-9A59-712D01FC9637}"/>
    <cellStyle name="Normal 7 2 2" xfId="36" xr:uid="{54227099-2A52-4615-BD01-A0C74D86E935}"/>
    <cellStyle name="Normal 7 3" xfId="29" xr:uid="{410998E6-29F8-4B50-BBA5-FFE12B8AB7C0}"/>
    <cellStyle name="Normal 8" xfId="13" xr:uid="{00000000-0005-0000-0000-00000B000000}"/>
    <cellStyle name="Normal 8 2" xfId="23" xr:uid="{C99406BD-6DE6-4A8D-8C9B-2A0CE1B1A93E}"/>
    <cellStyle name="Normal 8 2 2" xfId="37" xr:uid="{911AD5E1-6165-4E1C-8FE5-B6CF91A6B914}"/>
    <cellStyle name="Normal 8 3" xfId="30" xr:uid="{702D1CBC-A873-45BE-9384-108DF795D1F0}"/>
    <cellStyle name="Percent" xfId="2" builtinId="5"/>
    <cellStyle name="Percent 2" xfId="7" xr:uid="{00000000-0005-0000-0000-00000D000000}"/>
    <cellStyle name="Percent 2 2" xfId="19" xr:uid="{B81C941C-7CD8-460D-91D5-FC5DFCC82B4C}"/>
    <cellStyle name="Percent 2 2 2" xfId="33" xr:uid="{1728B53B-5AA3-44B5-8C83-14BF262D55AC}"/>
    <cellStyle name="Percent 2 3" xfId="26" xr:uid="{AE7DD5CA-AB2D-4C2C-8DF0-86D7944BAE94}"/>
    <cellStyle name="Percent 3" xfId="15" xr:uid="{5A2DBE4D-C6F4-48F8-996E-B556400D543B}"/>
  </cellStyles>
  <dxfs count="0"/>
  <tableStyles count="0" defaultTableStyle="TableStyleMedium2" defaultPivotStyle="PivotStyleMedium9"/>
  <colors>
    <mruColors>
      <color rgb="FF67C08B"/>
      <color rgb="FFEAEEEF"/>
      <color rgb="FFD9D9D9"/>
      <color rgb="FFE8C895"/>
      <color rgb="FF5A6265"/>
      <color rgb="FF9B8578"/>
      <color rgb="FF63AFC6"/>
      <color rgb="FFDDD9C4"/>
      <color rgb="FFF5862B"/>
      <color rgb="FF36609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163"/>
  <sheetViews>
    <sheetView showGridLines="0" tabSelected="1" zoomScale="70" zoomScaleNormal="70" workbookViewId="0">
      <selection activeCell="N128" sqref="N128"/>
    </sheetView>
  </sheetViews>
  <sheetFormatPr defaultRowHeight="15" outlineLevelRow="2" outlineLevelCol="1" x14ac:dyDescent="0.25"/>
  <cols>
    <col min="1" max="1" width="0.7109375" customWidth="1"/>
    <col min="2" max="2" width="92.28515625" customWidth="1"/>
    <col min="3" max="3" width="19.7109375" customWidth="1"/>
    <col min="4" max="4" width="7.5703125" bestFit="1" customWidth="1"/>
    <col min="5" max="5" width="19.42578125" bestFit="1" customWidth="1"/>
    <col min="6" max="6" width="17.5703125" bestFit="1" customWidth="1"/>
    <col min="7" max="7" width="18.42578125" customWidth="1"/>
    <col min="8" max="8" width="18.42578125" style="115" bestFit="1" customWidth="1"/>
    <col min="9" max="10" width="18.42578125" bestFit="1" customWidth="1"/>
    <col min="11" max="11" width="17.5703125" customWidth="1"/>
    <col min="12" max="12" width="17.5703125" style="115" customWidth="1"/>
    <col min="13" max="14" width="17.5703125" customWidth="1"/>
    <col min="15" max="16" width="15.85546875" style="115" customWidth="1"/>
    <col min="17" max="18" width="14.7109375" customWidth="1"/>
    <col min="19" max="19" width="15.5703125" customWidth="1"/>
    <col min="20" max="20" width="15.140625" customWidth="1" outlineLevel="1"/>
    <col min="21" max="21" width="19.28515625" customWidth="1" outlineLevel="1"/>
    <col min="22" max="22" width="14.42578125" customWidth="1"/>
    <col min="23" max="23" width="12.140625" customWidth="1"/>
    <col min="24" max="24" width="12.85546875" customWidth="1" outlineLevel="1"/>
    <col min="25" max="25" width="12.7109375" customWidth="1" outlineLevel="1"/>
    <col min="26" max="29" width="12.5703125" customWidth="1"/>
  </cols>
  <sheetData>
    <row r="1" spans="2:17" ht="55.15" customHeight="1" x14ac:dyDescent="0.25">
      <c r="B1" s="330" t="s">
        <v>196</v>
      </c>
      <c r="C1" s="330"/>
      <c r="D1" s="330"/>
      <c r="E1" s="330"/>
      <c r="F1" s="330"/>
      <c r="G1" s="86"/>
      <c r="H1" s="86"/>
    </row>
    <row r="2" spans="2:17" ht="62.45" customHeight="1" x14ac:dyDescent="0.25">
      <c r="B2" s="331" t="s">
        <v>176</v>
      </c>
      <c r="C2" s="331"/>
      <c r="D2" s="331"/>
      <c r="E2" s="331"/>
      <c r="F2" s="331"/>
      <c r="G2" s="87"/>
      <c r="H2" s="118"/>
    </row>
    <row r="3" spans="2:17" ht="8.1" customHeight="1" x14ac:dyDescent="0.25">
      <c r="B3" s="90"/>
      <c r="C3" s="89"/>
      <c r="D3" s="89"/>
      <c r="E3" s="89"/>
      <c r="F3" s="89"/>
      <c r="G3" s="89"/>
      <c r="H3" s="118"/>
    </row>
    <row r="4" spans="2:17" ht="31.9" customHeight="1" x14ac:dyDescent="0.25">
      <c r="B4" s="332" t="s">
        <v>87</v>
      </c>
      <c r="C4" s="332"/>
      <c r="D4" s="332"/>
      <c r="E4" s="332"/>
      <c r="F4" s="332"/>
      <c r="G4" s="88"/>
      <c r="H4" s="119"/>
    </row>
    <row r="5" spans="2:17" ht="21" customHeight="1" thickBot="1" x14ac:dyDescent="0.3">
      <c r="B5" s="16" t="s">
        <v>200</v>
      </c>
      <c r="C5" s="4"/>
      <c r="D5" s="4"/>
      <c r="E5" s="4"/>
      <c r="F5" s="18"/>
      <c r="G5" s="236" t="s">
        <v>173</v>
      </c>
      <c r="H5" s="328" t="s">
        <v>174</v>
      </c>
      <c r="I5" s="328"/>
    </row>
    <row r="6" spans="2:17" ht="15" customHeight="1" thickBot="1" x14ac:dyDescent="0.3">
      <c r="B6" s="230" t="s">
        <v>197</v>
      </c>
      <c r="C6" s="23"/>
      <c r="D6" s="3"/>
      <c r="E6" s="22"/>
      <c r="F6" s="41"/>
      <c r="G6" s="235"/>
      <c r="H6" s="233"/>
      <c r="I6" s="231"/>
    </row>
    <row r="7" spans="2:17" s="115" customFormat="1" ht="15" customHeight="1" x14ac:dyDescent="0.25">
      <c r="B7" s="230"/>
      <c r="C7" s="23"/>
      <c r="D7" s="3"/>
      <c r="E7" s="22"/>
      <c r="F7" s="41"/>
      <c r="G7" s="232"/>
      <c r="H7" s="234"/>
    </row>
    <row r="8" spans="2:17" ht="15" customHeight="1" x14ac:dyDescent="0.25">
      <c r="B8" s="85"/>
      <c r="C8" s="23"/>
      <c r="D8" s="3"/>
      <c r="E8" s="22"/>
      <c r="F8" s="41"/>
      <c r="G8" s="41"/>
      <c r="H8" s="41"/>
    </row>
    <row r="9" spans="2:17" ht="131.44999999999999" customHeight="1" x14ac:dyDescent="0.25">
      <c r="B9" s="333" t="s">
        <v>198</v>
      </c>
      <c r="C9" s="333"/>
      <c r="D9" s="3"/>
      <c r="E9" s="334" t="s">
        <v>186</v>
      </c>
      <c r="F9" s="334"/>
      <c r="G9" s="334"/>
      <c r="H9" s="334"/>
      <c r="I9" s="334"/>
      <c r="J9" s="334"/>
      <c r="K9" s="124"/>
      <c r="L9" s="117"/>
    </row>
    <row r="10" spans="2:17" ht="15.75" x14ac:dyDescent="0.25">
      <c r="B10" s="2"/>
      <c r="C10" s="1"/>
      <c r="D10" s="2"/>
      <c r="E10" s="152" t="s">
        <v>170</v>
      </c>
      <c r="F10" s="152" t="s">
        <v>175</v>
      </c>
      <c r="G10" s="152" t="s">
        <v>187</v>
      </c>
      <c r="H10" s="152" t="s">
        <v>188</v>
      </c>
      <c r="I10" s="152" t="s">
        <v>189</v>
      </c>
      <c r="J10" s="152" t="s">
        <v>190</v>
      </c>
      <c r="K10" s="95"/>
      <c r="L10" s="95"/>
      <c r="M10" s="95"/>
      <c r="N10" s="95"/>
      <c r="O10" s="95"/>
      <c r="P10" s="95"/>
      <c r="Q10" s="95"/>
    </row>
    <row r="11" spans="2:17" ht="16.149999999999999" customHeight="1" x14ac:dyDescent="0.25">
      <c r="B11" s="149" t="s">
        <v>89</v>
      </c>
      <c r="C11" s="150" t="s">
        <v>1</v>
      </c>
      <c r="D11" s="24"/>
      <c r="E11" s="151">
        <f>E12+E13+E14</f>
        <v>64166.999999999993</v>
      </c>
      <c r="F11" s="306">
        <f t="shared" ref="F11:J11" si="0">F12+F13+F14</f>
        <v>67010.999999999985</v>
      </c>
      <c r="G11" s="306">
        <f t="shared" si="0"/>
        <v>63828.110000000015</v>
      </c>
      <c r="H11" s="306">
        <f t="shared" si="0"/>
        <v>69784.025696296507</v>
      </c>
      <c r="I11" s="306">
        <f t="shared" si="0"/>
        <v>72905.96759888847</v>
      </c>
      <c r="J11" s="306">
        <f t="shared" si="0"/>
        <v>78410.194065604315</v>
      </c>
      <c r="K11" s="95"/>
      <c r="L11" s="95"/>
      <c r="M11" s="95"/>
      <c r="N11" s="95"/>
      <c r="O11" s="95"/>
      <c r="P11" s="95"/>
      <c r="Q11" s="95"/>
    </row>
    <row r="12" spans="2:17" ht="16.149999999999999" customHeight="1" x14ac:dyDescent="0.25">
      <c r="B12" s="125" t="s">
        <v>130</v>
      </c>
      <c r="C12" s="126" t="s">
        <v>1</v>
      </c>
      <c r="D12" s="24"/>
      <c r="E12" s="165">
        <f>E25</f>
        <v>61283.959999999992</v>
      </c>
      <c r="F12" s="165">
        <f t="shared" ref="F12:J12" si="1">F25</f>
        <v>69017.329999999987</v>
      </c>
      <c r="G12" s="165">
        <f t="shared" si="1"/>
        <v>68449.170000000013</v>
      </c>
      <c r="H12" s="165">
        <f t="shared" si="1"/>
        <v>69784.025696296507</v>
      </c>
      <c r="I12" s="165">
        <f t="shared" si="1"/>
        <v>72905.96759888847</v>
      </c>
      <c r="J12" s="165">
        <f t="shared" si="1"/>
        <v>78410.194065604315</v>
      </c>
      <c r="K12" s="95"/>
      <c r="L12" s="95"/>
      <c r="M12" s="95"/>
      <c r="N12" s="95"/>
      <c r="O12" s="95"/>
      <c r="P12" s="95"/>
      <c r="Q12" s="95"/>
    </row>
    <row r="13" spans="2:17" ht="16.149999999999999" customHeight="1" x14ac:dyDescent="0.25">
      <c r="B13" s="125" t="s">
        <v>88</v>
      </c>
      <c r="C13" s="126" t="s">
        <v>1</v>
      </c>
      <c r="D13" s="25"/>
      <c r="E13" s="166">
        <v>-10866.96</v>
      </c>
      <c r="F13" s="166">
        <v>-7506.33</v>
      </c>
      <c r="G13" s="166">
        <v>-4621.0600000000004</v>
      </c>
      <c r="H13" s="166"/>
      <c r="I13" s="166"/>
      <c r="J13" s="166"/>
      <c r="K13" s="95"/>
      <c r="L13" s="95"/>
      <c r="M13" s="95"/>
      <c r="N13" s="95"/>
      <c r="O13" s="95"/>
      <c r="P13" s="95"/>
      <c r="Q13" s="95"/>
    </row>
    <row r="14" spans="2:17" s="115" customFormat="1" ht="16.149999999999999" customHeight="1" x14ac:dyDescent="0.25">
      <c r="B14" s="125" t="s">
        <v>131</v>
      </c>
      <c r="C14" s="126" t="s">
        <v>1</v>
      </c>
      <c r="D14" s="25"/>
      <c r="E14" s="166">
        <v>13750</v>
      </c>
      <c r="F14" s="166">
        <v>5500</v>
      </c>
      <c r="G14" s="166"/>
      <c r="H14" s="166"/>
      <c r="I14" s="166"/>
      <c r="J14" s="166"/>
      <c r="K14" s="307"/>
      <c r="L14" s="95"/>
      <c r="M14" s="95"/>
      <c r="N14" s="95"/>
      <c r="O14" s="95"/>
      <c r="P14" s="95"/>
      <c r="Q14" s="95"/>
    </row>
    <row r="15" spans="2:17" ht="16.149999999999999" customHeight="1" x14ac:dyDescent="0.25">
      <c r="B15" s="21"/>
      <c r="C15" s="13"/>
      <c r="D15" s="25"/>
      <c r="E15" s="167"/>
      <c r="F15" s="167"/>
      <c r="G15" s="167"/>
      <c r="H15" s="167"/>
      <c r="I15" s="167"/>
      <c r="J15" s="167"/>
      <c r="K15" s="95"/>
      <c r="L15" s="95"/>
      <c r="M15" s="95"/>
      <c r="N15" s="95"/>
      <c r="O15" s="95"/>
      <c r="P15" s="95"/>
      <c r="Q15" s="95"/>
    </row>
    <row r="16" spans="2:17" ht="30" customHeight="1" x14ac:dyDescent="0.25">
      <c r="B16" s="149" t="s">
        <v>95</v>
      </c>
      <c r="C16" s="150" t="s">
        <v>1</v>
      </c>
      <c r="D16" s="24"/>
      <c r="E16" s="151">
        <v>0</v>
      </c>
      <c r="F16" s="151">
        <v>0</v>
      </c>
      <c r="G16" s="151">
        <v>0</v>
      </c>
      <c r="H16" s="151">
        <v>0</v>
      </c>
      <c r="I16" s="151">
        <v>0</v>
      </c>
      <c r="J16" s="151">
        <v>0</v>
      </c>
      <c r="K16" s="95"/>
      <c r="L16" s="95"/>
      <c r="M16" s="95"/>
      <c r="N16" s="95"/>
      <c r="O16" s="95"/>
      <c r="P16" s="95"/>
      <c r="Q16" s="95"/>
    </row>
    <row r="17" spans="1:21" ht="16.149999999999999" customHeight="1" x14ac:dyDescent="0.25">
      <c r="B17" s="127" t="s">
        <v>165</v>
      </c>
      <c r="C17" s="126" t="s">
        <v>1</v>
      </c>
      <c r="D17" s="25"/>
      <c r="E17" s="168">
        <f>E20*E98/(E98+E99)</f>
        <v>906.76245934238432</v>
      </c>
      <c r="F17" s="168">
        <f>F20*F98/(F98+F99)</f>
        <v>187.81965393157734</v>
      </c>
      <c r="G17" s="168"/>
      <c r="H17" s="168"/>
      <c r="I17" s="168"/>
      <c r="J17" s="168"/>
      <c r="K17" s="95"/>
      <c r="L17" s="95"/>
      <c r="M17" s="95"/>
      <c r="N17" s="95"/>
      <c r="O17" s="95"/>
      <c r="P17" s="95"/>
      <c r="Q17" s="95"/>
    </row>
    <row r="18" spans="1:21" ht="16.149999999999999" customHeight="1" x14ac:dyDescent="0.25">
      <c r="B18" s="127" t="s">
        <v>166</v>
      </c>
      <c r="C18" s="126" t="s">
        <v>1</v>
      </c>
      <c r="D18" s="25"/>
      <c r="E18" s="168">
        <f>E20*E99/(E99+E98)</f>
        <v>922.30002225581688</v>
      </c>
      <c r="F18" s="168">
        <f>F20*F99/(F99+F98)</f>
        <v>310.68047840646955</v>
      </c>
      <c r="G18" s="168"/>
      <c r="H18" s="168"/>
      <c r="I18" s="168"/>
      <c r="J18" s="168"/>
      <c r="K18" s="95"/>
      <c r="L18" s="95"/>
      <c r="M18" s="95"/>
      <c r="N18" s="95"/>
      <c r="O18" s="95"/>
      <c r="P18" s="95"/>
      <c r="Q18" s="95"/>
    </row>
    <row r="19" spans="1:21" s="115" customFormat="1" ht="16.149999999999999" customHeight="1" x14ac:dyDescent="0.25">
      <c r="B19" s="127" t="s">
        <v>167</v>
      </c>
      <c r="C19" s="126" t="s">
        <v>1</v>
      </c>
      <c r="D19" s="25"/>
      <c r="E19" s="169">
        <f>+-E20</f>
        <v>-1829.062481598201</v>
      </c>
      <c r="F19" s="169">
        <f>-F20</f>
        <v>-498.5001323380468</v>
      </c>
      <c r="G19" s="169"/>
      <c r="H19" s="169"/>
      <c r="I19" s="169"/>
      <c r="J19" s="169"/>
      <c r="K19" s="95"/>
      <c r="L19" s="95"/>
      <c r="M19" s="95"/>
      <c r="N19" s="95"/>
      <c r="O19" s="95"/>
      <c r="P19" s="95"/>
      <c r="Q19" s="95"/>
    </row>
    <row r="20" spans="1:21" ht="16.149999999999999" customHeight="1" x14ac:dyDescent="0.25">
      <c r="B20" s="127" t="s">
        <v>185</v>
      </c>
      <c r="C20" s="126"/>
      <c r="D20" s="25"/>
      <c r="E20" s="166">
        <f>+E21+E22+E23</f>
        <v>1829.062481598201</v>
      </c>
      <c r="F20" s="166">
        <f>+F23-E23</f>
        <v>498.5001323380468</v>
      </c>
      <c r="G20" s="166"/>
      <c r="H20" s="166"/>
      <c r="I20" s="166"/>
      <c r="J20" s="166"/>
      <c r="K20" s="95"/>
      <c r="L20" s="95"/>
      <c r="M20" s="95"/>
      <c r="N20" s="95"/>
      <c r="O20" s="95"/>
      <c r="P20" s="95"/>
      <c r="Q20" s="95"/>
    </row>
    <row r="21" spans="1:21" s="115" customFormat="1" ht="16.149999999999999" customHeight="1" x14ac:dyDescent="0.25">
      <c r="A21" s="95"/>
      <c r="B21" s="127" t="s">
        <v>182</v>
      </c>
      <c r="C21" s="126" t="s">
        <v>1</v>
      </c>
      <c r="D21" s="25"/>
      <c r="E21" s="169">
        <v>294.14130098174979</v>
      </c>
      <c r="F21" s="169"/>
      <c r="G21" s="169"/>
      <c r="H21" s="169"/>
      <c r="I21" s="169"/>
      <c r="J21" s="169"/>
      <c r="K21" s="95"/>
      <c r="L21" s="95"/>
      <c r="M21" s="95"/>
      <c r="N21" s="95"/>
      <c r="O21" s="95"/>
      <c r="P21" s="95"/>
      <c r="Q21" s="95"/>
    </row>
    <row r="22" spans="1:21" s="115" customFormat="1" x14ac:dyDescent="0.25">
      <c r="B22" s="127" t="s">
        <v>183</v>
      </c>
      <c r="C22" s="126" t="s">
        <v>1</v>
      </c>
      <c r="E22" s="304">
        <f>+((142.77-35.69)*35643.2023712329/1000*(7832.87/(7832.87+115105.03)-7370.07698630137/(7370.07698630137+88612.6160263562)))</f>
        <v>-49.889428566501209</v>
      </c>
      <c r="F22" s="169"/>
      <c r="G22" s="169"/>
      <c r="H22" s="169"/>
      <c r="I22" s="169"/>
      <c r="J22" s="169"/>
      <c r="K22" s="95"/>
      <c r="L22" s="95"/>
      <c r="M22" s="95"/>
      <c r="N22" s="95"/>
      <c r="O22" s="95"/>
      <c r="P22" s="95"/>
      <c r="Q22" s="95"/>
    </row>
    <row r="23" spans="1:21" s="115" customFormat="1" ht="29.25" customHeight="1" x14ac:dyDescent="0.25">
      <c r="B23" s="305" t="s">
        <v>184</v>
      </c>
      <c r="C23" s="126" t="s">
        <v>1</v>
      </c>
      <c r="E23" s="169">
        <f>+(142.77-142.77*0.25)*60763.4036185144/1000*((10413676/6277847.07333333*24956.9732357301+6792200/523431*2738.13332328323)/(10413676/6277847.07333333*24956.9732357301+20571368/23252511.026*105902.092917539+6792200/523431*2738.13332328323)-(24956.9732357301+2738.13332328323)/(24956.9732357301+105902.092917539+2738.13332328323))</f>
        <v>1584.8106091829525</v>
      </c>
      <c r="F23" s="169">
        <f>+(142.77-142.77*0.25)*60763.4036185144/1000*((73840.2230207305+28556.9604167919)/(73840.2230207305+91721.6377630208+28556.9604167919)-(24956.9732357301+2738.13332328323)/(24956.9732357301+105902.092917539+2738.13332328323))</f>
        <v>2083.3107415209993</v>
      </c>
      <c r="G23" s="169"/>
      <c r="H23" s="169"/>
      <c r="I23" s="169"/>
      <c r="J23" s="169"/>
      <c r="K23" s="95"/>
      <c r="L23" s="95"/>
      <c r="M23" s="95"/>
      <c r="N23" s="95"/>
      <c r="O23" s="95"/>
      <c r="P23" s="95"/>
      <c r="Q23" s="95"/>
    </row>
    <row r="24" spans="1:21" ht="16.149999999999999" customHeight="1" x14ac:dyDescent="0.25">
      <c r="B24" s="109"/>
      <c r="C24" s="108"/>
      <c r="D24" s="25"/>
      <c r="E24" s="98"/>
      <c r="F24" s="98"/>
      <c r="G24" s="98"/>
      <c r="H24" s="98"/>
      <c r="I24" s="98"/>
      <c r="J24" s="98"/>
      <c r="K24" s="115"/>
      <c r="M24" s="115"/>
      <c r="N24" s="115"/>
      <c r="O24" s="93"/>
      <c r="P24" s="93"/>
      <c r="Q24" s="81"/>
    </row>
    <row r="25" spans="1:21" ht="16.149999999999999" customHeight="1" x14ac:dyDescent="0.25">
      <c r="B25" s="149" t="s">
        <v>90</v>
      </c>
      <c r="C25" s="150" t="s">
        <v>1</v>
      </c>
      <c r="D25" s="24"/>
      <c r="E25" s="237">
        <f>E26+E28</f>
        <v>61283.959999999992</v>
      </c>
      <c r="F25" s="237">
        <f t="shared" ref="F25:J25" si="2">F26+F28</f>
        <v>69017.329999999987</v>
      </c>
      <c r="G25" s="237">
        <f t="shared" si="2"/>
        <v>68449.170000000013</v>
      </c>
      <c r="H25" s="237">
        <f t="shared" si="2"/>
        <v>69784.025696296507</v>
      </c>
      <c r="I25" s="237">
        <f t="shared" si="2"/>
        <v>72905.96759888847</v>
      </c>
      <c r="J25" s="237">
        <f t="shared" si="2"/>
        <v>78410.194065604315</v>
      </c>
      <c r="K25" s="115"/>
      <c r="M25" s="115"/>
      <c r="N25" s="115"/>
      <c r="O25" s="93"/>
      <c r="P25" s="93"/>
      <c r="Q25" s="81"/>
    </row>
    <row r="26" spans="1:21" ht="25.5" x14ac:dyDescent="0.25">
      <c r="B26" s="128" t="s">
        <v>91</v>
      </c>
      <c r="C26" s="126" t="s">
        <v>1</v>
      </c>
      <c r="D26" s="26"/>
      <c r="E26" s="156">
        <v>41364.908109259908</v>
      </c>
      <c r="F26" s="156">
        <v>55566.797349652676</v>
      </c>
      <c r="G26" s="156">
        <v>55415.772418638371</v>
      </c>
      <c r="H26" s="156">
        <v>56576.811440825149</v>
      </c>
      <c r="I26" s="156">
        <v>59036.257906011502</v>
      </c>
      <c r="J26" s="156">
        <v>63085.506888249329</v>
      </c>
      <c r="K26" s="115"/>
      <c r="M26" s="115"/>
      <c r="N26" s="115"/>
      <c r="O26" s="122"/>
      <c r="P26" s="122"/>
      <c r="Q26" s="81"/>
    </row>
    <row r="27" spans="1:21" ht="15" customHeight="1" x14ac:dyDescent="0.25">
      <c r="B27" s="129" t="s">
        <v>92</v>
      </c>
      <c r="C27" s="130" t="s">
        <v>1</v>
      </c>
      <c r="D27" s="26"/>
      <c r="E27" s="157">
        <v>11442.758001640294</v>
      </c>
      <c r="F27" s="157">
        <v>12868.139507607309</v>
      </c>
      <c r="G27" s="157">
        <v>13447.641108680345</v>
      </c>
      <c r="H27" s="157">
        <v>13672.614723170878</v>
      </c>
      <c r="I27" s="157">
        <v>14352.617363362595</v>
      </c>
      <c r="J27" s="157">
        <v>15717.911625387862</v>
      </c>
      <c r="K27" s="115"/>
      <c r="M27" s="115"/>
      <c r="N27" s="115"/>
    </row>
    <row r="28" spans="1:21" ht="27.6" customHeight="1" x14ac:dyDescent="0.25">
      <c r="B28" s="125" t="s">
        <v>93</v>
      </c>
      <c r="C28" s="126" t="s">
        <v>1</v>
      </c>
      <c r="D28" s="26"/>
      <c r="E28" s="156">
        <v>19919.051890740084</v>
      </c>
      <c r="F28" s="156">
        <v>13450.532650347319</v>
      </c>
      <c r="G28" s="156">
        <v>13033.397581361642</v>
      </c>
      <c r="H28" s="156">
        <v>13207.214255471354</v>
      </c>
      <c r="I28" s="156">
        <v>13869.70969287697</v>
      </c>
      <c r="J28" s="156">
        <v>15324.687177354981</v>
      </c>
      <c r="K28" s="115"/>
      <c r="M28" s="115"/>
      <c r="N28" s="115"/>
      <c r="R28" s="80"/>
      <c r="S28" s="80"/>
      <c r="T28" s="80"/>
      <c r="U28" s="5"/>
    </row>
    <row r="29" spans="1:21" ht="15" customHeight="1" x14ac:dyDescent="0.25">
      <c r="B29" s="131" t="s">
        <v>139</v>
      </c>
      <c r="C29" s="130" t="s">
        <v>1</v>
      </c>
      <c r="D29" s="26"/>
      <c r="E29" s="159">
        <v>1142.3784791798835</v>
      </c>
      <c r="F29" s="159">
        <v>745.08210152363677</v>
      </c>
      <c r="G29" s="159">
        <v>670.20827246082672</v>
      </c>
      <c r="H29" s="159">
        <v>686.57809466971798</v>
      </c>
      <c r="I29" s="159">
        <v>717.21358552431548</v>
      </c>
      <c r="J29" s="159">
        <v>766.12487826315191</v>
      </c>
      <c r="K29" s="115"/>
      <c r="M29" s="115"/>
      <c r="N29" s="115"/>
      <c r="R29" s="81"/>
      <c r="S29" s="81"/>
      <c r="T29" s="81"/>
      <c r="U29" s="81"/>
    </row>
    <row r="30" spans="1:21" s="115" customFormat="1" ht="15" customHeight="1" x14ac:dyDescent="0.25">
      <c r="B30" s="131" t="s">
        <v>140</v>
      </c>
      <c r="C30" s="130" t="s">
        <v>1</v>
      </c>
      <c r="D30" s="26"/>
      <c r="E30" s="158">
        <f t="shared" ref="E30" si="3">+E28-E29</f>
        <v>18776.673411560201</v>
      </c>
      <c r="F30" s="158">
        <f>+F28-F29</f>
        <v>12705.450548823683</v>
      </c>
      <c r="G30" s="158">
        <f t="shared" ref="G30:J30" si="4">+G28-G29</f>
        <v>12363.189308900815</v>
      </c>
      <c r="H30" s="158">
        <f t="shared" si="4"/>
        <v>12520.636160801636</v>
      </c>
      <c r="I30" s="158">
        <f t="shared" si="4"/>
        <v>13152.496107352654</v>
      </c>
      <c r="J30" s="158">
        <f t="shared" si="4"/>
        <v>14558.562299091829</v>
      </c>
      <c r="R30" s="81"/>
      <c r="S30" s="81"/>
      <c r="T30" s="81"/>
      <c r="U30" s="81"/>
    </row>
    <row r="31" spans="1:21" s="115" customFormat="1" ht="15" customHeight="1" x14ac:dyDescent="0.25">
      <c r="B31" s="132" t="s">
        <v>142</v>
      </c>
      <c r="C31" s="130" t="s">
        <v>1</v>
      </c>
      <c r="D31" s="26"/>
      <c r="E31" s="155">
        <f>+E32+E33</f>
        <v>13943.336323518059</v>
      </c>
      <c r="F31" s="155">
        <f t="shared" ref="F31:J31" si="5">+F32+F33</f>
        <v>9415.3728552431239</v>
      </c>
      <c r="G31" s="155">
        <f t="shared" si="5"/>
        <v>9123.3783069531491</v>
      </c>
      <c r="H31" s="155">
        <f t="shared" si="5"/>
        <v>9245.0499788299476</v>
      </c>
      <c r="I31" s="155">
        <f t="shared" si="5"/>
        <v>9708.7967850138775</v>
      </c>
      <c r="J31" s="155">
        <f t="shared" si="5"/>
        <v>10727.281024148486</v>
      </c>
      <c r="R31" s="81"/>
      <c r="S31" s="81"/>
      <c r="T31" s="81"/>
      <c r="U31" s="81"/>
    </row>
    <row r="32" spans="1:21" s="115" customFormat="1" ht="15" customHeight="1" x14ac:dyDescent="0.25">
      <c r="B32" s="129" t="s">
        <v>143</v>
      </c>
      <c r="C32" s="130" t="s">
        <v>1</v>
      </c>
      <c r="D32" s="26"/>
      <c r="E32" s="158">
        <f>E29*E37</f>
        <v>799.66493542591843</v>
      </c>
      <c r="F32" s="158">
        <f t="shared" ref="F32:J32" si="6">F29*F37</f>
        <v>521.55747106654576</v>
      </c>
      <c r="G32" s="158">
        <f t="shared" si="6"/>
        <v>469.14579072257868</v>
      </c>
      <c r="H32" s="158">
        <f t="shared" si="6"/>
        <v>480.60466626880253</v>
      </c>
      <c r="I32" s="158">
        <f t="shared" si="6"/>
        <v>502.04950986702079</v>
      </c>
      <c r="J32" s="158">
        <f t="shared" si="6"/>
        <v>536.28741478420636</v>
      </c>
      <c r="R32" s="81"/>
      <c r="S32" s="81"/>
      <c r="T32" s="81"/>
      <c r="U32" s="81"/>
    </row>
    <row r="33" spans="2:21" x14ac:dyDescent="0.25">
      <c r="B33" s="129" t="s">
        <v>144</v>
      </c>
      <c r="C33" s="130" t="s">
        <v>1</v>
      </c>
      <c r="D33" s="26"/>
      <c r="E33" s="158">
        <f>+E30*E37</f>
        <v>13143.67138809214</v>
      </c>
      <c r="F33" s="158">
        <f t="shared" ref="F33:J33" si="7">+F30*F37</f>
        <v>8893.8153841765779</v>
      </c>
      <c r="G33" s="158">
        <f t="shared" si="7"/>
        <v>8654.2325162305697</v>
      </c>
      <c r="H33" s="158">
        <f t="shared" si="7"/>
        <v>8764.4453125611453</v>
      </c>
      <c r="I33" s="158">
        <f t="shared" si="7"/>
        <v>9206.7472751468576</v>
      </c>
      <c r="J33" s="158">
        <f t="shared" si="7"/>
        <v>10190.993609364279</v>
      </c>
      <c r="K33" s="115"/>
      <c r="M33" s="115"/>
      <c r="N33" s="115"/>
      <c r="O33" s="66"/>
      <c r="P33" s="66"/>
      <c r="Q33" s="67"/>
      <c r="R33" s="67"/>
      <c r="S33" s="66"/>
      <c r="T33" s="67"/>
      <c r="U33" s="5"/>
    </row>
    <row r="34" spans="2:21" s="115" customFormat="1" ht="15" customHeight="1" x14ac:dyDescent="0.25">
      <c r="B34" s="132" t="s">
        <v>145</v>
      </c>
      <c r="C34" s="130" t="s">
        <v>1</v>
      </c>
      <c r="D34" s="26"/>
      <c r="E34" s="155">
        <f>+E35+E36</f>
        <v>5975.7155672220269</v>
      </c>
      <c r="F34" s="155">
        <f t="shared" ref="F34:J34" si="8">+F35+F36</f>
        <v>4035.1597951041958</v>
      </c>
      <c r="G34" s="155">
        <f t="shared" si="8"/>
        <v>3910.0192744084939</v>
      </c>
      <c r="H34" s="155">
        <f t="shared" si="8"/>
        <v>3962.1642766414061</v>
      </c>
      <c r="I34" s="155">
        <f t="shared" si="8"/>
        <v>4160.9129078630904</v>
      </c>
      <c r="J34" s="155">
        <f t="shared" si="8"/>
        <v>4597.4061532064952</v>
      </c>
      <c r="O34" s="80"/>
      <c r="P34" s="80"/>
      <c r="Q34" s="81"/>
      <c r="R34" s="81"/>
      <c r="S34" s="81"/>
      <c r="T34" s="81"/>
      <c r="U34" s="81"/>
    </row>
    <row r="35" spans="2:21" s="115" customFormat="1" ht="15" customHeight="1" x14ac:dyDescent="0.25">
      <c r="B35" s="129" t="s">
        <v>143</v>
      </c>
      <c r="C35" s="130" t="s">
        <v>1</v>
      </c>
      <c r="D35" s="26"/>
      <c r="E35" s="158">
        <f>+E29-E32</f>
        <v>342.71354375396504</v>
      </c>
      <c r="F35" s="158">
        <f t="shared" ref="F35:J35" si="9">+F29-F32</f>
        <v>223.52463045709101</v>
      </c>
      <c r="G35" s="158">
        <f t="shared" si="9"/>
        <v>201.06248173824804</v>
      </c>
      <c r="H35" s="158">
        <f t="shared" si="9"/>
        <v>205.97342840091545</v>
      </c>
      <c r="I35" s="158">
        <f t="shared" si="9"/>
        <v>215.16407565729469</v>
      </c>
      <c r="J35" s="158">
        <f t="shared" si="9"/>
        <v>229.83746347894555</v>
      </c>
      <c r="O35" s="80"/>
      <c r="P35" s="80"/>
      <c r="Q35" s="81"/>
      <c r="R35" s="81"/>
      <c r="S35" s="81"/>
      <c r="T35" s="81"/>
      <c r="U35" s="81"/>
    </row>
    <row r="36" spans="2:21" s="115" customFormat="1" x14ac:dyDescent="0.25">
      <c r="B36" s="129" t="s">
        <v>144</v>
      </c>
      <c r="C36" s="130" t="s">
        <v>1</v>
      </c>
      <c r="D36" s="26"/>
      <c r="E36" s="158">
        <f>+E30-E33</f>
        <v>5633.0020234680615</v>
      </c>
      <c r="F36" s="158">
        <f t="shared" ref="F36:J36" si="10">+F30-F33</f>
        <v>3811.6351646471048</v>
      </c>
      <c r="G36" s="158">
        <f t="shared" si="10"/>
        <v>3708.9567926702457</v>
      </c>
      <c r="H36" s="158">
        <f t="shared" si="10"/>
        <v>3756.1908482404906</v>
      </c>
      <c r="I36" s="158">
        <f t="shared" si="10"/>
        <v>3945.7488322057961</v>
      </c>
      <c r="J36" s="158">
        <f t="shared" si="10"/>
        <v>4367.56868972755</v>
      </c>
      <c r="O36" s="66"/>
      <c r="P36" s="66"/>
      <c r="Q36" s="67"/>
      <c r="R36" s="67"/>
      <c r="S36" s="66"/>
      <c r="T36" s="67"/>
      <c r="U36" s="5"/>
    </row>
    <row r="37" spans="2:21" x14ac:dyDescent="0.25">
      <c r="B37" s="129" t="s">
        <v>94</v>
      </c>
      <c r="C37" s="130" t="s">
        <v>0</v>
      </c>
      <c r="D37" s="39"/>
      <c r="E37" s="160">
        <v>0.7</v>
      </c>
      <c r="F37" s="160">
        <v>0.7</v>
      </c>
      <c r="G37" s="160">
        <v>0.7</v>
      </c>
      <c r="H37" s="160">
        <v>0.7</v>
      </c>
      <c r="I37" s="160">
        <v>0.7</v>
      </c>
      <c r="J37" s="160">
        <v>0.7</v>
      </c>
      <c r="K37" s="115"/>
      <c r="M37" s="115"/>
      <c r="N37" s="115"/>
    </row>
    <row r="38" spans="2:21" s="115" customFormat="1" x14ac:dyDescent="0.25">
      <c r="B38" s="129" t="s">
        <v>141</v>
      </c>
      <c r="C38" s="130" t="s">
        <v>0</v>
      </c>
      <c r="D38" s="39"/>
      <c r="E38" s="161">
        <f>1-E37</f>
        <v>0.30000000000000004</v>
      </c>
      <c r="F38" s="161">
        <f t="shared" ref="F38:J38" si="11">1-F37</f>
        <v>0.30000000000000004</v>
      </c>
      <c r="G38" s="161">
        <f t="shared" si="11"/>
        <v>0.30000000000000004</v>
      </c>
      <c r="H38" s="161">
        <f t="shared" si="11"/>
        <v>0.30000000000000004</v>
      </c>
      <c r="I38" s="161">
        <f t="shared" si="11"/>
        <v>0.30000000000000004</v>
      </c>
      <c r="J38" s="161">
        <f t="shared" si="11"/>
        <v>0.30000000000000004</v>
      </c>
    </row>
    <row r="39" spans="2:21" x14ac:dyDescent="0.25">
      <c r="B39" s="82"/>
      <c r="C39" s="17"/>
      <c r="D39" s="83"/>
      <c r="E39" s="162"/>
      <c r="F39" s="162"/>
      <c r="G39" s="162"/>
      <c r="H39" s="162"/>
      <c r="I39" s="162"/>
      <c r="J39" s="162"/>
      <c r="K39" s="115"/>
      <c r="M39" s="115"/>
    </row>
    <row r="40" spans="2:21" outlineLevel="2" x14ac:dyDescent="0.25">
      <c r="B40" s="133" t="s">
        <v>99</v>
      </c>
      <c r="C40" s="126" t="s">
        <v>1</v>
      </c>
      <c r="D40" s="83"/>
      <c r="E40" s="155">
        <f t="shared" ref="E40:F40" si="12">E41+E43</f>
        <v>-10866.96</v>
      </c>
      <c r="F40" s="155">
        <f t="shared" si="12"/>
        <v>-7506.33</v>
      </c>
      <c r="G40" s="155">
        <f t="shared" ref="G40:J40" si="13">G41+G43</f>
        <v>-4621.0600000000004</v>
      </c>
      <c r="H40" s="155">
        <f t="shared" si="13"/>
        <v>0</v>
      </c>
      <c r="I40" s="155">
        <f t="shared" si="13"/>
        <v>0</v>
      </c>
      <c r="J40" s="155">
        <f t="shared" si="13"/>
        <v>0</v>
      </c>
      <c r="K40" s="115"/>
      <c r="M40" s="115"/>
      <c r="N40" s="115"/>
    </row>
    <row r="41" spans="2:21" outlineLevel="2" x14ac:dyDescent="0.25">
      <c r="B41" s="329" t="s">
        <v>100</v>
      </c>
      <c r="C41" s="130" t="s">
        <v>1</v>
      </c>
      <c r="D41" s="24"/>
      <c r="E41" s="158">
        <f>E13*E42</f>
        <v>-3518.0706121712851</v>
      </c>
      <c r="F41" s="158">
        <f>F13*F42</f>
        <v>-3361.0512332800954</v>
      </c>
      <c r="G41" s="158">
        <f t="shared" ref="G41:J41" si="14">G13*G42</f>
        <v>-1689.6882988455354</v>
      </c>
      <c r="H41" s="158">
        <f t="shared" si="14"/>
        <v>0</v>
      </c>
      <c r="I41" s="158">
        <f t="shared" si="14"/>
        <v>0</v>
      </c>
      <c r="J41" s="158">
        <f t="shared" si="14"/>
        <v>0</v>
      </c>
      <c r="K41" s="115"/>
      <c r="M41" s="115"/>
      <c r="N41" s="115"/>
    </row>
    <row r="42" spans="2:21" outlineLevel="2" x14ac:dyDescent="0.25">
      <c r="B42" s="329"/>
      <c r="C42" s="130" t="s">
        <v>0</v>
      </c>
      <c r="D42" s="24"/>
      <c r="E42" s="163">
        <f>1-E44</f>
        <v>0.32374009034461204</v>
      </c>
      <c r="F42" s="163">
        <f t="shared" ref="F42:J42" si="15">1-F44</f>
        <v>0.44776225309573325</v>
      </c>
      <c r="G42" s="163">
        <f t="shared" si="15"/>
        <v>0.36564950440927735</v>
      </c>
      <c r="H42" s="163">
        <f t="shared" si="15"/>
        <v>0.37121482566406827</v>
      </c>
      <c r="I42" s="163">
        <f t="shared" si="15"/>
        <v>0.37895943242070851</v>
      </c>
      <c r="J42" s="163">
        <f t="shared" si="15"/>
        <v>0.38584442401218655</v>
      </c>
      <c r="K42" s="115"/>
      <c r="M42" s="115"/>
      <c r="N42" s="115"/>
    </row>
    <row r="43" spans="2:21" outlineLevel="2" x14ac:dyDescent="0.25">
      <c r="B43" s="329" t="s">
        <v>101</v>
      </c>
      <c r="C43" s="130" t="s">
        <v>1</v>
      </c>
      <c r="D43" s="24"/>
      <c r="E43" s="158">
        <f>E13*E44</f>
        <v>-7348.8893878287145</v>
      </c>
      <c r="F43" s="158">
        <f>F13*F44</f>
        <v>-4145.2787667199045</v>
      </c>
      <c r="G43" s="158">
        <f t="shared" ref="G43:J43" si="16">G13*G44</f>
        <v>-2931.371701154465</v>
      </c>
      <c r="H43" s="158">
        <f t="shared" si="16"/>
        <v>0</v>
      </c>
      <c r="I43" s="158">
        <f t="shared" si="16"/>
        <v>0</v>
      </c>
      <c r="J43" s="158">
        <f t="shared" si="16"/>
        <v>0</v>
      </c>
      <c r="K43" s="115"/>
      <c r="M43" s="115"/>
      <c r="N43" s="115"/>
    </row>
    <row r="44" spans="2:21" outlineLevel="2" x14ac:dyDescent="0.25">
      <c r="B44" s="329"/>
      <c r="C44" s="130" t="s">
        <v>0</v>
      </c>
      <c r="D44" s="24"/>
      <c r="E44" s="163">
        <f>E28/(E28+((E69*E76+(E120-E124)*E94/1000)/(E98+E101+E99)*1000)*E101/1000+E14*E101/(E101+E98+E99))</f>
        <v>0.67625990965538796</v>
      </c>
      <c r="F44" s="163">
        <f>F28/(F28+((F69*F76+(F120-F124)*F94/1000)/(F98+F101+F99)*1000)*F101/1000+F14*F101/(F101+F98+F99))</f>
        <v>0.55223774690426675</v>
      </c>
      <c r="G44" s="163">
        <f>G28/(G28+((G69*G76+(G120-G124)*G94/1000)/(G98+G101+G99)*1000)*G101/1000+G14*G101/(G101+G98+G99))</f>
        <v>0.63435049559072265</v>
      </c>
      <c r="H44" s="163">
        <f t="shared" ref="H44:J44" si="17">H28/(H28+((H69*H76+(H120-H124)*H94/1000)/(H98+H101+H99)*1000)*H101/1000+H14*H101/(H101+H98+H99))</f>
        <v>0.62878517433593173</v>
      </c>
      <c r="I44" s="163">
        <f t="shared" si="17"/>
        <v>0.62104056757929149</v>
      </c>
      <c r="J44" s="163">
        <f t="shared" si="17"/>
        <v>0.61415557598781345</v>
      </c>
      <c r="K44" s="115"/>
      <c r="M44" s="115"/>
      <c r="N44" s="115"/>
    </row>
    <row r="45" spans="2:21" outlineLevel="2" x14ac:dyDescent="0.25">
      <c r="B45" s="82"/>
      <c r="C45" s="17"/>
      <c r="D45" s="83"/>
      <c r="F45" s="115"/>
      <c r="G45" s="115"/>
      <c r="I45" s="115"/>
      <c r="J45" s="115"/>
      <c r="K45" s="115"/>
      <c r="M45" s="115"/>
      <c r="N45" s="115"/>
    </row>
    <row r="46" spans="2:21" x14ac:dyDescent="0.25">
      <c r="B46" s="149" t="s">
        <v>102</v>
      </c>
      <c r="C46" s="150" t="s">
        <v>1</v>
      </c>
      <c r="D46" s="24"/>
      <c r="E46" s="151">
        <f>E47+E49</f>
        <v>50416.999999999993</v>
      </c>
      <c r="F46" s="151">
        <f t="shared" ref="F46:J46" si="18">F47+F49</f>
        <v>61511</v>
      </c>
      <c r="G46" s="151">
        <f t="shared" si="18"/>
        <v>63828.110000000015</v>
      </c>
      <c r="H46" s="151">
        <f t="shared" si="18"/>
        <v>69784.025696296507</v>
      </c>
      <c r="I46" s="151">
        <f t="shared" si="18"/>
        <v>72905.96759888847</v>
      </c>
      <c r="J46" s="151">
        <f t="shared" si="18"/>
        <v>78410.194065604315</v>
      </c>
      <c r="K46" s="115"/>
      <c r="M46" s="115"/>
      <c r="N46" s="115"/>
    </row>
    <row r="47" spans="2:21" ht="25.5" x14ac:dyDescent="0.25">
      <c r="B47" s="128" t="s">
        <v>103</v>
      </c>
      <c r="C47" s="126" t="s">
        <v>1</v>
      </c>
      <c r="D47" s="26"/>
      <c r="E47" s="170">
        <f>E26+E41</f>
        <v>37846.837497088622</v>
      </c>
      <c r="F47" s="170">
        <f t="shared" ref="F47:J47" si="19">F26+F41</f>
        <v>52205.746116372582</v>
      </c>
      <c r="G47" s="170">
        <f t="shared" si="19"/>
        <v>53726.084119792838</v>
      </c>
      <c r="H47" s="170">
        <f t="shared" si="19"/>
        <v>56576.811440825149</v>
      </c>
      <c r="I47" s="170">
        <f t="shared" si="19"/>
        <v>59036.257906011502</v>
      </c>
      <c r="J47" s="170">
        <f t="shared" si="19"/>
        <v>63085.506888249329</v>
      </c>
      <c r="K47" s="115"/>
      <c r="M47" s="115"/>
      <c r="N47" s="115"/>
    </row>
    <row r="48" spans="2:21" x14ac:dyDescent="0.25">
      <c r="B48" s="129" t="s">
        <v>92</v>
      </c>
      <c r="C48" s="130" t="s">
        <v>1</v>
      </c>
      <c r="D48" s="26"/>
      <c r="E48" s="168">
        <f>E27</f>
        <v>11442.758001640294</v>
      </c>
      <c r="F48" s="168">
        <f t="shared" ref="F48:J48" si="20">F27</f>
        <v>12868.139507607309</v>
      </c>
      <c r="G48" s="168">
        <f t="shared" si="20"/>
        <v>13447.641108680345</v>
      </c>
      <c r="H48" s="168">
        <f t="shared" si="20"/>
        <v>13672.614723170878</v>
      </c>
      <c r="I48" s="168">
        <f t="shared" si="20"/>
        <v>14352.617363362595</v>
      </c>
      <c r="J48" s="168">
        <f t="shared" si="20"/>
        <v>15717.911625387862</v>
      </c>
      <c r="K48" s="115"/>
      <c r="M48" s="115"/>
      <c r="N48" s="115"/>
    </row>
    <row r="49" spans="2:14" x14ac:dyDescent="0.25">
      <c r="B49" s="125" t="s">
        <v>93</v>
      </c>
      <c r="C49" s="126" t="s">
        <v>1</v>
      </c>
      <c r="D49" s="26"/>
      <c r="E49" s="170">
        <f>E28+E43</f>
        <v>12570.162502911369</v>
      </c>
      <c r="F49" s="170">
        <f>F28+F43</f>
        <v>9305.2538836274143</v>
      </c>
      <c r="G49" s="170">
        <f t="shared" ref="G49:J49" si="21">G28+G43</f>
        <v>10102.025880207177</v>
      </c>
      <c r="H49" s="170">
        <f t="shared" si="21"/>
        <v>13207.214255471354</v>
      </c>
      <c r="I49" s="170">
        <f t="shared" si="21"/>
        <v>13869.70969287697</v>
      </c>
      <c r="J49" s="170">
        <f t="shared" si="21"/>
        <v>15324.687177354981</v>
      </c>
      <c r="K49" s="115"/>
      <c r="M49" s="115"/>
      <c r="N49" s="115"/>
    </row>
    <row r="50" spans="2:14" x14ac:dyDescent="0.25">
      <c r="B50" s="131" t="s">
        <v>155</v>
      </c>
      <c r="C50" s="130" t="s">
        <v>1</v>
      </c>
      <c r="D50" s="26"/>
      <c r="E50" s="164">
        <f>E49/E28*E29</f>
        <v>720.9119792391059</v>
      </c>
      <c r="F50" s="164">
        <f t="shared" ref="F50:J50" si="22">F49/F28*F29</f>
        <v>515.45751376954343</v>
      </c>
      <c r="G50" s="164">
        <f t="shared" si="22"/>
        <v>519.47017431665597</v>
      </c>
      <c r="H50" s="164">
        <f t="shared" si="22"/>
        <v>686.57809466971798</v>
      </c>
      <c r="I50" s="164">
        <f t="shared" si="22"/>
        <v>717.21358552431548</v>
      </c>
      <c r="J50" s="164">
        <f t="shared" si="22"/>
        <v>766.12487826315191</v>
      </c>
      <c r="K50" s="115"/>
      <c r="M50" s="115"/>
      <c r="N50" s="115"/>
    </row>
    <row r="51" spans="2:14" s="115" customFormat="1" x14ac:dyDescent="0.25">
      <c r="B51" s="131" t="s">
        <v>156</v>
      </c>
      <c r="C51" s="130" t="s">
        <v>1</v>
      </c>
      <c r="D51" s="26"/>
      <c r="E51" s="164">
        <f>+E49-E50</f>
        <v>11849.250523672263</v>
      </c>
      <c r="F51" s="164">
        <f t="shared" ref="F51:J51" si="23">+F49-F50</f>
        <v>8789.7963698578715</v>
      </c>
      <c r="G51" s="164">
        <f t="shared" si="23"/>
        <v>9582.5557058905215</v>
      </c>
      <c r="H51" s="164">
        <f t="shared" si="23"/>
        <v>12520.636160801636</v>
      </c>
      <c r="I51" s="164">
        <f t="shared" si="23"/>
        <v>13152.496107352654</v>
      </c>
      <c r="J51" s="164">
        <f t="shared" si="23"/>
        <v>14558.562299091829</v>
      </c>
    </row>
    <row r="52" spans="2:14" x14ac:dyDescent="0.25">
      <c r="B52" s="125" t="s">
        <v>157</v>
      </c>
      <c r="C52" s="126" t="s">
        <v>1</v>
      </c>
      <c r="E52" s="170">
        <f>+E53+E54</f>
        <v>8799.113752037958</v>
      </c>
      <c r="F52" s="170">
        <f t="shared" ref="F52:J52" si="24">+F53+F54</f>
        <v>6513.6777185391893</v>
      </c>
      <c r="G52" s="170">
        <f t="shared" si="24"/>
        <v>7071.4181161450233</v>
      </c>
      <c r="H52" s="170">
        <f t="shared" si="24"/>
        <v>9245.0499788299476</v>
      </c>
      <c r="I52" s="170">
        <f t="shared" si="24"/>
        <v>9708.7967850138775</v>
      </c>
      <c r="J52" s="170">
        <f t="shared" si="24"/>
        <v>10727.281024148486</v>
      </c>
      <c r="K52" s="115"/>
      <c r="M52" s="115"/>
      <c r="N52" s="115"/>
    </row>
    <row r="53" spans="2:14" s="115" customFormat="1" x14ac:dyDescent="0.25">
      <c r="B53" s="129" t="s">
        <v>159</v>
      </c>
      <c r="C53" s="130" t="s">
        <v>1</v>
      </c>
      <c r="D53" s="39"/>
      <c r="E53" s="171">
        <f>E51*E37</f>
        <v>8294.475366570583</v>
      </c>
      <c r="F53" s="171">
        <f t="shared" ref="F53:J53" si="25">F51*F37</f>
        <v>6152.8574589005093</v>
      </c>
      <c r="G53" s="171">
        <f t="shared" si="25"/>
        <v>6707.7889941233643</v>
      </c>
      <c r="H53" s="171">
        <f t="shared" si="25"/>
        <v>8764.4453125611453</v>
      </c>
      <c r="I53" s="171">
        <f t="shared" si="25"/>
        <v>9206.7472751468576</v>
      </c>
      <c r="J53" s="171">
        <f t="shared" si="25"/>
        <v>10190.993609364279</v>
      </c>
    </row>
    <row r="54" spans="2:14" s="115" customFormat="1" x14ac:dyDescent="0.25">
      <c r="B54" s="129" t="s">
        <v>158</v>
      </c>
      <c r="C54" s="130" t="s">
        <v>1</v>
      </c>
      <c r="D54" s="39"/>
      <c r="E54" s="171">
        <f>E50*E37</f>
        <v>504.63838546737412</v>
      </c>
      <c r="F54" s="171">
        <f t="shared" ref="F54:J54" si="26">F50*F37</f>
        <v>360.8202596386804</v>
      </c>
      <c r="G54" s="171">
        <f t="shared" si="26"/>
        <v>363.62912202165916</v>
      </c>
      <c r="H54" s="171">
        <f t="shared" si="26"/>
        <v>480.60466626880253</v>
      </c>
      <c r="I54" s="171">
        <f t="shared" si="26"/>
        <v>502.04950986702079</v>
      </c>
      <c r="J54" s="171">
        <f t="shared" si="26"/>
        <v>536.28741478420636</v>
      </c>
      <c r="K54" s="5"/>
      <c r="L54" s="5"/>
      <c r="N54" s="97"/>
    </row>
    <row r="55" spans="2:14" s="115" customFormat="1" x14ac:dyDescent="0.25">
      <c r="B55" s="125" t="s">
        <v>160</v>
      </c>
      <c r="C55" s="130" t="s">
        <v>1</v>
      </c>
      <c r="D55" s="39"/>
      <c r="E55" s="170">
        <f>+E57+E56</f>
        <v>3771.0487508734113</v>
      </c>
      <c r="F55" s="170">
        <f t="shared" ref="F55:J55" si="27">+F57+F56</f>
        <v>2791.576165088225</v>
      </c>
      <c r="G55" s="170">
        <f t="shared" si="27"/>
        <v>3030.6077640621538</v>
      </c>
      <c r="H55" s="170">
        <f t="shared" si="27"/>
        <v>3962.1642766414061</v>
      </c>
      <c r="I55" s="170">
        <f t="shared" si="27"/>
        <v>4160.9129078630904</v>
      </c>
      <c r="J55" s="170">
        <f t="shared" si="27"/>
        <v>4597.4061532064952</v>
      </c>
      <c r="K55" s="5"/>
      <c r="L55" s="5"/>
      <c r="N55" s="97"/>
    </row>
    <row r="56" spans="2:14" s="115" customFormat="1" x14ac:dyDescent="0.25">
      <c r="B56" s="129" t="s">
        <v>161</v>
      </c>
      <c r="C56" s="130" t="s">
        <v>1</v>
      </c>
      <c r="D56" s="39"/>
      <c r="E56" s="171">
        <f>+E51-E53</f>
        <v>3554.7751571016797</v>
      </c>
      <c r="F56" s="171">
        <f t="shared" ref="F56:J56" si="28">+F51-F53</f>
        <v>2636.9389109573622</v>
      </c>
      <c r="G56" s="171">
        <f t="shared" si="28"/>
        <v>2874.7667117671572</v>
      </c>
      <c r="H56" s="171">
        <f t="shared" si="28"/>
        <v>3756.1908482404906</v>
      </c>
      <c r="I56" s="171">
        <f t="shared" si="28"/>
        <v>3945.7488322057961</v>
      </c>
      <c r="J56" s="171">
        <f t="shared" si="28"/>
        <v>4367.56868972755</v>
      </c>
      <c r="K56" s="5"/>
      <c r="L56" s="5"/>
    </row>
    <row r="57" spans="2:14" s="115" customFormat="1" x14ac:dyDescent="0.25">
      <c r="B57" s="129" t="s">
        <v>162</v>
      </c>
      <c r="C57" s="130" t="s">
        <v>1</v>
      </c>
      <c r="D57" s="39"/>
      <c r="E57" s="171">
        <f>+E50-E54</f>
        <v>216.27359377173178</v>
      </c>
      <c r="F57" s="171">
        <f t="shared" ref="F57:J57" si="29">+F50-F54</f>
        <v>154.63725413086303</v>
      </c>
      <c r="G57" s="171">
        <f t="shared" si="29"/>
        <v>155.84105229499681</v>
      </c>
      <c r="H57" s="171">
        <f t="shared" si="29"/>
        <v>205.97342840091545</v>
      </c>
      <c r="I57" s="171">
        <f t="shared" si="29"/>
        <v>215.16407565729469</v>
      </c>
      <c r="J57" s="171">
        <f t="shared" si="29"/>
        <v>229.83746347894555</v>
      </c>
      <c r="K57" s="5"/>
      <c r="L57" s="5"/>
    </row>
    <row r="58" spans="2:14" x14ac:dyDescent="0.25">
      <c r="B58" s="27"/>
      <c r="C58" s="17"/>
      <c r="D58" s="28"/>
      <c r="E58" s="65"/>
      <c r="F58" s="116"/>
      <c r="G58" s="116"/>
      <c r="H58" s="116"/>
      <c r="I58" s="116"/>
      <c r="J58" s="116"/>
      <c r="K58" s="5"/>
      <c r="L58" s="5"/>
    </row>
    <row r="59" spans="2:14" ht="35.450000000000003" hidden="1" customHeight="1" x14ac:dyDescent="0.25">
      <c r="B59" s="110" t="s">
        <v>96</v>
      </c>
      <c r="C59" s="7" t="s">
        <v>1</v>
      </c>
      <c r="D59" s="24"/>
      <c r="E59" s="65"/>
      <c r="F59" s="116"/>
      <c r="G59" s="116"/>
      <c r="H59" s="116"/>
      <c r="I59" s="116"/>
      <c r="J59" s="116"/>
      <c r="K59" s="5"/>
      <c r="L59" s="5"/>
    </row>
    <row r="60" spans="2:14" hidden="1" x14ac:dyDescent="0.25">
      <c r="B60" s="111" t="s">
        <v>97</v>
      </c>
      <c r="C60" s="8" t="s">
        <v>1</v>
      </c>
      <c r="D60" s="24"/>
      <c r="E60" s="65"/>
      <c r="F60" s="116"/>
      <c r="G60" s="116"/>
      <c r="H60" s="116"/>
      <c r="I60" s="116"/>
      <c r="J60" s="116"/>
      <c r="K60" s="5"/>
      <c r="L60" s="5"/>
    </row>
    <row r="61" spans="2:14" hidden="1" x14ac:dyDescent="0.25">
      <c r="B61" s="111" t="s">
        <v>98</v>
      </c>
      <c r="C61" s="8" t="s">
        <v>1</v>
      </c>
      <c r="D61" s="24"/>
      <c r="E61" s="65"/>
      <c r="F61" s="116"/>
      <c r="G61" s="116"/>
      <c r="H61" s="116"/>
      <c r="I61" s="116"/>
      <c r="J61" s="116"/>
      <c r="K61" s="5"/>
      <c r="L61" s="5"/>
    </row>
    <row r="62" spans="2:14" hidden="1" x14ac:dyDescent="0.25">
      <c r="B62" s="14"/>
      <c r="C62" s="13"/>
      <c r="D62" s="25"/>
      <c r="E62" s="65"/>
      <c r="F62" s="116"/>
      <c r="G62" s="116"/>
      <c r="H62" s="116"/>
      <c r="I62" s="116"/>
      <c r="J62" s="116"/>
      <c r="K62" s="68"/>
      <c r="L62" s="68"/>
    </row>
    <row r="63" spans="2:14" ht="25.5" x14ac:dyDescent="0.25">
      <c r="B63" s="149" t="s">
        <v>104</v>
      </c>
      <c r="C63" s="150" t="s">
        <v>1</v>
      </c>
      <c r="D63" s="24"/>
      <c r="E63" s="158"/>
      <c r="F63" s="158"/>
      <c r="G63" s="158"/>
      <c r="H63" s="158"/>
      <c r="I63" s="158"/>
      <c r="J63" s="158"/>
      <c r="K63" s="5"/>
      <c r="L63" s="5"/>
    </row>
    <row r="64" spans="2:14" x14ac:dyDescent="0.25">
      <c r="B64" s="149" t="s">
        <v>105</v>
      </c>
      <c r="C64" s="150" t="s">
        <v>1</v>
      </c>
      <c r="D64" s="24"/>
      <c r="E64" s="172">
        <f>E65+E66</f>
        <v>41364.908109259908</v>
      </c>
      <c r="F64" s="172">
        <f t="shared" ref="F64:J64" si="30">F65+F66</f>
        <v>55566.797349652676</v>
      </c>
      <c r="G64" s="172">
        <f t="shared" si="30"/>
        <v>55415.772418638371</v>
      </c>
      <c r="H64" s="172">
        <f t="shared" si="30"/>
        <v>56576.811440825142</v>
      </c>
      <c r="I64" s="172">
        <f t="shared" si="30"/>
        <v>59036.257906011502</v>
      </c>
      <c r="J64" s="172">
        <f t="shared" si="30"/>
        <v>63085.506888249329</v>
      </c>
      <c r="K64" s="5"/>
      <c r="L64" s="5"/>
    </row>
    <row r="65" spans="2:14" x14ac:dyDescent="0.25">
      <c r="B65" s="129" t="s">
        <v>92</v>
      </c>
      <c r="C65" s="126" t="s">
        <v>1</v>
      </c>
      <c r="D65" s="24"/>
      <c r="E65" s="172">
        <f>E27</f>
        <v>11442.758001640294</v>
      </c>
      <c r="F65" s="172">
        <f t="shared" ref="F65:J65" si="31">F27</f>
        <v>12868.139507607309</v>
      </c>
      <c r="G65" s="172">
        <f t="shared" si="31"/>
        <v>13447.641108680345</v>
      </c>
      <c r="H65" s="172">
        <f t="shared" si="31"/>
        <v>13672.614723170878</v>
      </c>
      <c r="I65" s="172">
        <f t="shared" si="31"/>
        <v>14352.617363362595</v>
      </c>
      <c r="J65" s="172">
        <f t="shared" si="31"/>
        <v>15717.911625387862</v>
      </c>
      <c r="K65" s="5"/>
      <c r="L65" s="5"/>
      <c r="M65" s="123"/>
    </row>
    <row r="66" spans="2:14" ht="16.149999999999999" customHeight="1" x14ac:dyDescent="0.25">
      <c r="B66" s="129" t="s">
        <v>106</v>
      </c>
      <c r="C66" s="126" t="s">
        <v>1</v>
      </c>
      <c r="D66" s="24"/>
      <c r="E66" s="172">
        <f>E26-E27</f>
        <v>29922.150107619615</v>
      </c>
      <c r="F66" s="172">
        <f t="shared" ref="F66:J66" si="32">F26-F27</f>
        <v>42698.657842045366</v>
      </c>
      <c r="G66" s="172">
        <f t="shared" si="32"/>
        <v>41968.131309958029</v>
      </c>
      <c r="H66" s="172">
        <f t="shared" si="32"/>
        <v>42904.196717654268</v>
      </c>
      <c r="I66" s="172">
        <f t="shared" si="32"/>
        <v>44683.640542648907</v>
      </c>
      <c r="J66" s="172">
        <f t="shared" si="32"/>
        <v>47367.595262861469</v>
      </c>
      <c r="K66" s="5"/>
      <c r="L66" s="5"/>
    </row>
    <row r="67" spans="2:14" ht="15" customHeight="1" x14ac:dyDescent="0.25">
      <c r="B67" s="134"/>
      <c r="C67" s="126"/>
      <c r="D67" s="24"/>
      <c r="E67" s="173"/>
      <c r="F67" s="173"/>
      <c r="G67" s="173"/>
      <c r="H67" s="173"/>
      <c r="I67" s="173"/>
      <c r="J67" s="173"/>
      <c r="K67" s="5"/>
      <c r="L67" s="5"/>
      <c r="M67" s="123"/>
    </row>
    <row r="68" spans="2:14" ht="18.75" customHeight="1" x14ac:dyDescent="0.25">
      <c r="B68" s="129" t="s">
        <v>107</v>
      </c>
      <c r="C68" s="126" t="s">
        <v>1</v>
      </c>
      <c r="D68" s="26"/>
      <c r="E68" s="172">
        <f>E65-E71</f>
        <v>9026.3972111306339</v>
      </c>
      <c r="F68" s="172">
        <f t="shared" ref="F68:J68" si="33">F65-F71</f>
        <v>8355.1260944627284</v>
      </c>
      <c r="G68" s="172">
        <f t="shared" si="33"/>
        <v>10682.688870274997</v>
      </c>
      <c r="H68" s="172">
        <f t="shared" si="33"/>
        <v>10913.396029762069</v>
      </c>
      <c r="I68" s="172">
        <f t="shared" si="33"/>
        <v>11593.339632628133</v>
      </c>
      <c r="J68" s="172">
        <f t="shared" si="33"/>
        <v>12971.152063378593</v>
      </c>
      <c r="K68" s="5"/>
      <c r="L68" s="5"/>
    </row>
    <row r="69" spans="2:14" ht="26.25" customHeight="1" x14ac:dyDescent="0.25">
      <c r="B69" s="129" t="s">
        <v>108</v>
      </c>
      <c r="C69" s="126" t="s">
        <v>1</v>
      </c>
      <c r="D69" s="26"/>
      <c r="E69" s="172">
        <f>E66-E72</f>
        <v>26210.114898129275</v>
      </c>
      <c r="F69" s="172">
        <f t="shared" ref="F69:J69" si="34">F66-F72</f>
        <v>35716.418314804192</v>
      </c>
      <c r="G69" s="172">
        <f t="shared" si="34"/>
        <v>37707.773148363376</v>
      </c>
      <c r="H69" s="172">
        <f t="shared" si="34"/>
        <v>38638.415411063077</v>
      </c>
      <c r="I69" s="172">
        <f t="shared" si="34"/>
        <v>40417.918273383373</v>
      </c>
      <c r="J69" s="172">
        <f t="shared" si="34"/>
        <v>43089.354824870738</v>
      </c>
      <c r="K69" s="5"/>
      <c r="L69" s="5"/>
    </row>
    <row r="70" spans="2:14" ht="16.149999999999999" customHeight="1" x14ac:dyDescent="0.25">
      <c r="B70" s="134"/>
      <c r="C70" s="126"/>
      <c r="D70" s="26"/>
      <c r="E70" s="173"/>
      <c r="F70" s="173"/>
      <c r="G70" s="173"/>
      <c r="H70" s="173"/>
      <c r="I70" s="173"/>
      <c r="J70" s="173"/>
      <c r="K70" s="67"/>
      <c r="L70" s="5"/>
    </row>
    <row r="71" spans="2:14" ht="16.149999999999999" customHeight="1" x14ac:dyDescent="0.25">
      <c r="B71" s="129" t="s">
        <v>109</v>
      </c>
      <c r="C71" s="126" t="s">
        <v>1</v>
      </c>
      <c r="D71" s="26"/>
      <c r="E71" s="172">
        <f>IF(E80=0%,0,E109*E137/1000)</f>
        <v>2416.3607905096601</v>
      </c>
      <c r="F71" s="172">
        <f>IF(F80=0%,0,F109*F137/1000)</f>
        <v>4513.013413144582</v>
      </c>
      <c r="G71" s="172">
        <f t="shared" ref="G71:J71" si="35">IF(G80=0%,0,G109*G137/1000)</f>
        <v>2764.9522384053498</v>
      </c>
      <c r="H71" s="172">
        <f t="shared" si="35"/>
        <v>2759.2186934088095</v>
      </c>
      <c r="I71" s="172">
        <f t="shared" si="35"/>
        <v>2759.2777307344631</v>
      </c>
      <c r="J71" s="172">
        <f t="shared" si="35"/>
        <v>2746.7595620092688</v>
      </c>
      <c r="K71" s="67"/>
      <c r="L71" s="5"/>
    </row>
    <row r="72" spans="2:14" ht="29.25" customHeight="1" x14ac:dyDescent="0.25">
      <c r="B72" s="129" t="s">
        <v>110</v>
      </c>
      <c r="C72" s="126" t="s">
        <v>1</v>
      </c>
      <c r="D72" s="26"/>
      <c r="E72" s="172">
        <f>IF(E80=0%,0,(E106-E109)*E148/1000)</f>
        <v>3712.0352094903383</v>
      </c>
      <c r="F72" s="172">
        <f>IF(F80=0%,0,(F106-F109)*F148/1000)</f>
        <v>6982.2395272411704</v>
      </c>
      <c r="G72" s="172">
        <f t="shared" ref="G72:J72" si="36">IF(G80=0%,0,(G106-G109)*G148/1000)</f>
        <v>4260.3581615946532</v>
      </c>
      <c r="H72" s="172">
        <f t="shared" si="36"/>
        <v>4265.7813065911869</v>
      </c>
      <c r="I72" s="172">
        <f t="shared" si="36"/>
        <v>4265.7222692655369</v>
      </c>
      <c r="J72" s="172">
        <f t="shared" si="36"/>
        <v>4278.2404379907348</v>
      </c>
      <c r="K72" s="5"/>
      <c r="L72" s="5"/>
    </row>
    <row r="73" spans="2:14" x14ac:dyDescent="0.25">
      <c r="B73" s="29"/>
      <c r="C73" s="9"/>
      <c r="D73" s="24"/>
      <c r="E73" s="65"/>
      <c r="F73" s="116"/>
      <c r="G73" s="116"/>
      <c r="H73" s="116"/>
      <c r="I73" s="116"/>
      <c r="J73" s="116"/>
      <c r="K73" s="115"/>
      <c r="M73" s="115"/>
      <c r="N73" s="115"/>
    </row>
    <row r="74" spans="2:14" ht="16.149999999999999" customHeight="1" x14ac:dyDescent="0.25">
      <c r="B74" s="174" t="s">
        <v>111</v>
      </c>
      <c r="C74" s="175"/>
      <c r="D74" s="30"/>
      <c r="E74" s="177"/>
      <c r="F74" s="177"/>
      <c r="G74" s="177"/>
      <c r="H74" s="177"/>
      <c r="I74" s="177"/>
      <c r="J74" s="177"/>
      <c r="K74" s="115"/>
      <c r="M74" s="115"/>
      <c r="N74" s="115"/>
    </row>
    <row r="75" spans="2:14" x14ac:dyDescent="0.25">
      <c r="B75" s="135" t="s">
        <v>6</v>
      </c>
      <c r="C75" s="136" t="s">
        <v>0</v>
      </c>
      <c r="D75" s="31"/>
      <c r="E75" s="185">
        <v>0.87364995727784733</v>
      </c>
      <c r="F75" s="185">
        <v>0.61603965371941027</v>
      </c>
      <c r="G75" s="185">
        <v>0.58402221268927101</v>
      </c>
      <c r="H75" s="185">
        <v>0.57067423001097206</v>
      </c>
      <c r="I75" s="185">
        <v>0.54517387147945562</v>
      </c>
      <c r="J75" s="185">
        <v>0.51571111465749464</v>
      </c>
      <c r="K75" s="115"/>
      <c r="M75" s="115"/>
      <c r="N75" s="115"/>
    </row>
    <row r="76" spans="2:14" x14ac:dyDescent="0.25">
      <c r="B76" s="135" t="s">
        <v>7</v>
      </c>
      <c r="C76" s="136" t="s">
        <v>0</v>
      </c>
      <c r="D76" s="31"/>
      <c r="E76" s="178">
        <f t="shared" ref="E76:F76" si="37">1-E75</f>
        <v>0.12635004272215267</v>
      </c>
      <c r="F76" s="178">
        <f t="shared" si="37"/>
        <v>0.38396034628058973</v>
      </c>
      <c r="G76" s="178">
        <f t="shared" ref="G76:J76" si="38">1-G75</f>
        <v>0.41597778731072899</v>
      </c>
      <c r="H76" s="178">
        <f t="shared" si="38"/>
        <v>0.42932576998902794</v>
      </c>
      <c r="I76" s="178">
        <f t="shared" si="38"/>
        <v>0.45482612852054438</v>
      </c>
      <c r="J76" s="178">
        <f t="shared" si="38"/>
        <v>0.48428888534250536</v>
      </c>
      <c r="K76" s="115"/>
      <c r="M76" s="115"/>
      <c r="N76" s="115"/>
    </row>
    <row r="77" spans="2:14" x14ac:dyDescent="0.25">
      <c r="B77" s="112"/>
      <c r="C77" s="12"/>
      <c r="D77" s="32"/>
      <c r="E77" s="65"/>
      <c r="F77" s="116"/>
      <c r="G77" s="116"/>
      <c r="H77" s="116"/>
      <c r="I77" s="116"/>
      <c r="J77" s="116"/>
      <c r="K77" s="115"/>
      <c r="M77" s="115"/>
      <c r="N77" s="115"/>
    </row>
    <row r="78" spans="2:14" ht="16.899999999999999" customHeight="1" x14ac:dyDescent="0.25">
      <c r="B78" s="174" t="s">
        <v>112</v>
      </c>
      <c r="C78" s="175"/>
      <c r="D78" s="33"/>
      <c r="E78" s="179"/>
      <c r="F78" s="179"/>
      <c r="G78" s="179"/>
      <c r="H78" s="179"/>
      <c r="I78" s="179"/>
      <c r="J78" s="179"/>
      <c r="K78" s="115"/>
      <c r="M78" s="115"/>
      <c r="N78" s="115"/>
    </row>
    <row r="79" spans="2:14" x14ac:dyDescent="0.25">
      <c r="B79" s="137" t="s">
        <v>8</v>
      </c>
      <c r="C79" s="138" t="s">
        <v>0</v>
      </c>
      <c r="D79" s="31"/>
      <c r="E79" s="186">
        <v>0.9</v>
      </c>
      <c r="F79" s="186">
        <v>0.8334439634163513</v>
      </c>
      <c r="G79" s="186">
        <v>0.8973645640991702</v>
      </c>
      <c r="H79" s="186">
        <v>0.89933226222039497</v>
      </c>
      <c r="I79" s="186">
        <v>0.90364300438820178</v>
      </c>
      <c r="J79" s="186">
        <v>0.91040705760628116</v>
      </c>
      <c r="K79" s="115"/>
      <c r="M79" s="115"/>
      <c r="N79" s="115"/>
    </row>
    <row r="80" spans="2:14" x14ac:dyDescent="0.25">
      <c r="B80" s="137" t="s">
        <v>9</v>
      </c>
      <c r="C80" s="138" t="s">
        <v>0</v>
      </c>
      <c r="D80" s="31"/>
      <c r="E80" s="180">
        <f t="shared" ref="E80:F80" si="39">1-E79</f>
        <v>9.9999999999999978E-2</v>
      </c>
      <c r="F80" s="180">
        <f t="shared" si="39"/>
        <v>0.1665560365836487</v>
      </c>
      <c r="G80" s="180">
        <f t="shared" ref="G80:J80" si="40">1-G79</f>
        <v>0.1026354359008298</v>
      </c>
      <c r="H80" s="180">
        <f t="shared" si="40"/>
        <v>0.10066773777960503</v>
      </c>
      <c r="I80" s="180">
        <f t="shared" si="40"/>
        <v>9.6356995611798224E-2</v>
      </c>
      <c r="J80" s="180">
        <f t="shared" si="40"/>
        <v>8.9592942393718844E-2</v>
      </c>
      <c r="K80" s="115"/>
      <c r="M80" s="115"/>
      <c r="N80" s="115"/>
    </row>
    <row r="81" spans="2:16" x14ac:dyDescent="0.25">
      <c r="B81" s="113"/>
      <c r="C81" s="10"/>
      <c r="D81" s="31"/>
      <c r="E81" s="65"/>
      <c r="F81" s="116"/>
      <c r="G81" s="116"/>
      <c r="H81" s="116"/>
      <c r="I81" s="116"/>
      <c r="J81" s="116"/>
      <c r="K81" s="115"/>
      <c r="M81" s="115"/>
      <c r="N81" s="115"/>
    </row>
    <row r="82" spans="2:16" x14ac:dyDescent="0.25">
      <c r="B82" s="139" t="s">
        <v>113</v>
      </c>
      <c r="C82" s="140" t="s">
        <v>0</v>
      </c>
      <c r="D82" s="31"/>
      <c r="E82" s="186">
        <v>0</v>
      </c>
      <c r="F82" s="186">
        <v>0</v>
      </c>
      <c r="G82" s="186">
        <v>0</v>
      </c>
      <c r="H82" s="186">
        <v>0</v>
      </c>
      <c r="I82" s="186">
        <v>0</v>
      </c>
      <c r="J82" s="186">
        <v>0</v>
      </c>
      <c r="K82" s="115"/>
      <c r="M82" s="115"/>
      <c r="N82" s="115"/>
    </row>
    <row r="83" spans="2:16" s="115" customFormat="1" x14ac:dyDescent="0.25">
      <c r="B83" s="139" t="s">
        <v>148</v>
      </c>
      <c r="C83" s="141" t="s">
        <v>0</v>
      </c>
      <c r="D83" s="31"/>
      <c r="E83" s="186">
        <v>0</v>
      </c>
      <c r="F83" s="186">
        <v>0</v>
      </c>
      <c r="G83" s="186">
        <v>0</v>
      </c>
      <c r="H83" s="186">
        <v>0</v>
      </c>
      <c r="I83" s="186">
        <v>0</v>
      </c>
      <c r="J83" s="186">
        <v>0</v>
      </c>
    </row>
    <row r="84" spans="2:16" x14ac:dyDescent="0.25">
      <c r="B84" s="114"/>
      <c r="C84" s="74"/>
      <c r="D84" s="32"/>
      <c r="E84" s="65"/>
      <c r="F84" s="116"/>
      <c r="G84" s="116"/>
      <c r="H84" s="116"/>
      <c r="I84" s="116"/>
      <c r="J84" s="116"/>
      <c r="K84" s="115"/>
      <c r="M84" s="115"/>
      <c r="N84" s="115"/>
    </row>
    <row r="85" spans="2:16" x14ac:dyDescent="0.25">
      <c r="B85" s="174" t="s">
        <v>114</v>
      </c>
      <c r="C85" s="175"/>
      <c r="D85" s="30"/>
      <c r="E85" s="177"/>
      <c r="F85" s="177"/>
      <c r="G85" s="177"/>
      <c r="H85" s="177"/>
      <c r="I85" s="177"/>
      <c r="J85" s="177"/>
      <c r="K85" s="115"/>
      <c r="M85" s="115"/>
      <c r="N85" s="115"/>
    </row>
    <row r="86" spans="2:16" x14ac:dyDescent="0.25">
      <c r="B86" s="137" t="s">
        <v>6</v>
      </c>
      <c r="C86" s="138" t="s">
        <v>0</v>
      </c>
      <c r="D86" s="31"/>
      <c r="E86" s="178">
        <f t="shared" ref="E86:F86" si="41">((E93+E95)*E120/1000+E94*E124/1000+(E68-E100*E127/1000))/(E25-E72-E71)</f>
        <v>0.48635705657906264</v>
      </c>
      <c r="F86" s="178">
        <f t="shared" si="41"/>
        <v>0.4507758289721861</v>
      </c>
      <c r="G86" s="178">
        <f>((G93+G95)*G120/1000+G94*G124/1000+(G68-G100*G127/1000))/(G25-G72-G71)</f>
        <v>0.41758656982407616</v>
      </c>
      <c r="H86" s="178">
        <f t="shared" ref="H86:J86" si="42">((H93+H95)*H120/1000+H94*H124/1000+(H68-H100*H127/1000))/(H25-H72-H71)</f>
        <v>0.40580758249887844</v>
      </c>
      <c r="I86" s="178">
        <f t="shared" si="42"/>
        <v>0.38353126354280376</v>
      </c>
      <c r="J86" s="178">
        <f t="shared" si="42"/>
        <v>0.35540272498190129</v>
      </c>
      <c r="K86" s="115"/>
      <c r="M86" s="115"/>
      <c r="N86" s="115"/>
    </row>
    <row r="87" spans="2:16" x14ac:dyDescent="0.25">
      <c r="B87" s="137" t="s">
        <v>7</v>
      </c>
      <c r="C87" s="138" t="s">
        <v>0</v>
      </c>
      <c r="D87" s="31"/>
      <c r="E87" s="178">
        <f>1-E86</f>
        <v>0.5136429434209373</v>
      </c>
      <c r="F87" s="178">
        <f t="shared" ref="F87:J87" si="43">1-F86</f>
        <v>0.54922417102781385</v>
      </c>
      <c r="G87" s="178">
        <f t="shared" si="43"/>
        <v>0.58241343017592384</v>
      </c>
      <c r="H87" s="178">
        <f t="shared" si="43"/>
        <v>0.59419241750112151</v>
      </c>
      <c r="I87" s="178">
        <f t="shared" si="43"/>
        <v>0.61646873645719624</v>
      </c>
      <c r="J87" s="178">
        <f t="shared" si="43"/>
        <v>0.64459727501809871</v>
      </c>
      <c r="K87" s="115"/>
      <c r="M87" s="115"/>
      <c r="N87" s="115"/>
    </row>
    <row r="88" spans="2:16" x14ac:dyDescent="0.25">
      <c r="B88" s="115"/>
      <c r="C88" s="11"/>
      <c r="D88" s="34"/>
      <c r="F88" s="95"/>
      <c r="G88" s="95"/>
      <c r="H88" s="95"/>
      <c r="I88" s="95"/>
      <c r="J88" s="95"/>
      <c r="K88" s="115"/>
      <c r="M88" s="115"/>
      <c r="N88" s="115"/>
    </row>
    <row r="89" spans="2:16" x14ac:dyDescent="0.25">
      <c r="B89" s="176" t="s">
        <v>178</v>
      </c>
      <c r="C89" s="175"/>
      <c r="D89" s="30"/>
      <c r="E89" s="181"/>
      <c r="F89" s="181"/>
      <c r="G89" s="181"/>
      <c r="H89" s="181"/>
      <c r="I89" s="181"/>
      <c r="J89" s="181"/>
      <c r="K89" s="115"/>
      <c r="M89" s="115"/>
      <c r="N89" s="115"/>
    </row>
    <row r="90" spans="2:16" s="115" customFormat="1" x14ac:dyDescent="0.25">
      <c r="B90" s="128" t="s">
        <v>116</v>
      </c>
      <c r="C90" s="138" t="s">
        <v>115</v>
      </c>
      <c r="D90" s="30"/>
      <c r="E90" s="182">
        <f t="shared" ref="E90" si="44">E93+E94+E95</f>
        <v>160387.09645582485</v>
      </c>
      <c r="F90" s="182">
        <f>F93+F94+F95</f>
        <v>154113.11879771363</v>
      </c>
      <c r="G90" s="182">
        <f>G93+G94+G95+G92+G91</f>
        <v>154249.3318602806</v>
      </c>
      <c r="H90" s="182">
        <f t="shared" ref="H90:J90" si="45">H93+H94+H95+H92+H91</f>
        <v>154443.84649122722</v>
      </c>
      <c r="I90" s="182">
        <f t="shared" si="45"/>
        <v>154337.69687077569</v>
      </c>
      <c r="J90" s="182">
        <f t="shared" si="45"/>
        <v>155646.55884714154</v>
      </c>
    </row>
    <row r="91" spans="2:16" s="115" customFormat="1" x14ac:dyDescent="0.25">
      <c r="B91" s="127" t="s">
        <v>80</v>
      </c>
      <c r="C91" s="138" t="s">
        <v>115</v>
      </c>
      <c r="D91" s="30"/>
      <c r="E91" s="153">
        <v>0</v>
      </c>
      <c r="F91" s="153">
        <v>0</v>
      </c>
      <c r="G91" s="153">
        <v>0</v>
      </c>
      <c r="H91" s="153">
        <v>0</v>
      </c>
      <c r="I91" s="153">
        <v>0</v>
      </c>
      <c r="J91" s="153">
        <v>0</v>
      </c>
    </row>
    <row r="92" spans="2:16" s="115" customFormat="1" x14ac:dyDescent="0.25">
      <c r="B92" s="127" t="s">
        <v>181</v>
      </c>
      <c r="C92" s="138" t="s">
        <v>115</v>
      </c>
      <c r="D92" s="30"/>
      <c r="E92" s="153">
        <v>0</v>
      </c>
      <c r="F92" s="153">
        <v>0</v>
      </c>
      <c r="G92" s="153">
        <v>2095.8904109589043</v>
      </c>
      <c r="H92" s="153">
        <v>3563.0136986301377</v>
      </c>
      <c r="I92" s="153">
        <v>4862.465753424658</v>
      </c>
      <c r="J92" s="153">
        <v>5449.3150684931516</v>
      </c>
    </row>
    <row r="93" spans="2:16" x14ac:dyDescent="0.25">
      <c r="B93" s="127" t="s">
        <v>82</v>
      </c>
      <c r="C93" s="138" t="s">
        <v>115</v>
      </c>
      <c r="D93" s="20"/>
      <c r="E93" s="153">
        <v>15533.61240598652</v>
      </c>
      <c r="F93" s="153">
        <v>11617.340034991219</v>
      </c>
      <c r="G93" s="153">
        <v>10862.926316603705</v>
      </c>
      <c r="H93" s="153">
        <v>10862.926316603705</v>
      </c>
      <c r="I93" s="153">
        <v>9811.8104702399687</v>
      </c>
      <c r="J93" s="153">
        <v>10326.06156957649</v>
      </c>
      <c r="K93" s="115"/>
      <c r="M93" s="115"/>
      <c r="N93" s="115"/>
    </row>
    <row r="94" spans="2:16" x14ac:dyDescent="0.25">
      <c r="B94" s="127" t="s">
        <v>83</v>
      </c>
      <c r="C94" s="138" t="s">
        <v>115</v>
      </c>
      <c r="D94" s="20"/>
      <c r="E94" s="153">
        <v>121408.552542989</v>
      </c>
      <c r="F94" s="153">
        <v>126356.46223819369</v>
      </c>
      <c r="G94" s="153">
        <v>132035.14837531091</v>
      </c>
      <c r="H94" s="153">
        <v>132031.41117892327</v>
      </c>
      <c r="I94" s="153">
        <v>132031.41117892327</v>
      </c>
      <c r="J94" s="153">
        <v>132031.41117892327</v>
      </c>
      <c r="K94" s="115"/>
      <c r="M94" s="115"/>
      <c r="N94" s="115"/>
      <c r="O94" s="92"/>
      <c r="P94" s="92"/>
    </row>
    <row r="95" spans="2:16" x14ac:dyDescent="0.25">
      <c r="B95" s="127" t="s">
        <v>179</v>
      </c>
      <c r="C95" s="130" t="s">
        <v>115</v>
      </c>
      <c r="D95" s="20"/>
      <c r="E95" s="153">
        <v>23444.931506849316</v>
      </c>
      <c r="F95" s="153">
        <v>16139.316524528731</v>
      </c>
      <c r="G95" s="153">
        <v>9255.3667574070805</v>
      </c>
      <c r="H95" s="153">
        <v>7986.4952970701042</v>
      </c>
      <c r="I95" s="153">
        <v>7632.0094681878045</v>
      </c>
      <c r="J95" s="153">
        <v>7839.7710301486222</v>
      </c>
      <c r="K95" s="115"/>
      <c r="M95" s="115"/>
      <c r="N95" s="115"/>
    </row>
    <row r="96" spans="2:16" ht="15" customHeight="1" x14ac:dyDescent="0.25">
      <c r="B96" s="127" t="s">
        <v>81</v>
      </c>
      <c r="C96" s="138" t="s">
        <v>115</v>
      </c>
      <c r="D96" s="20"/>
      <c r="E96" s="148">
        <v>109200</v>
      </c>
      <c r="F96" s="148">
        <v>109200</v>
      </c>
      <c r="G96" s="148">
        <v>109200</v>
      </c>
      <c r="H96" s="148">
        <v>109200</v>
      </c>
      <c r="I96" s="148">
        <v>109200</v>
      </c>
      <c r="J96" s="148">
        <v>109200</v>
      </c>
      <c r="K96" s="115"/>
      <c r="M96" s="115"/>
      <c r="N96" s="115"/>
    </row>
    <row r="97" spans="2:16" ht="14.1" customHeight="1" x14ac:dyDescent="0.25">
      <c r="B97" s="128" t="s">
        <v>117</v>
      </c>
      <c r="C97" s="138" t="s">
        <v>115</v>
      </c>
      <c r="D97" s="20"/>
      <c r="E97" s="182">
        <f t="shared" ref="E97" si="46">SUM(E98:E101)</f>
        <v>290998.59666338249</v>
      </c>
      <c r="F97" s="182">
        <f>SUM(F98:F101)</f>
        <v>295595.63052926701</v>
      </c>
      <c r="G97" s="182">
        <f t="shared" ref="G97:J97" si="47">SUM(G98:G101)</f>
        <v>295279.2445081569</v>
      </c>
      <c r="H97" s="182">
        <f t="shared" si="47"/>
        <v>295649.49540479702</v>
      </c>
      <c r="I97" s="182">
        <f t="shared" si="47"/>
        <v>295261.47167963715</v>
      </c>
      <c r="J97" s="182">
        <f t="shared" si="47"/>
        <v>296933.08699920314</v>
      </c>
      <c r="K97" s="115"/>
      <c r="M97" s="115"/>
      <c r="N97" s="115"/>
    </row>
    <row r="98" spans="2:16" s="115" customFormat="1" ht="14.25" customHeight="1" x14ac:dyDescent="0.25">
      <c r="B98" s="127" t="s">
        <v>84</v>
      </c>
      <c r="C98" s="138" t="s">
        <v>115</v>
      </c>
      <c r="D98" s="20"/>
      <c r="E98" s="153">
        <v>39755.49369420189</v>
      </c>
      <c r="F98" s="153">
        <v>30365.95917731474</v>
      </c>
      <c r="G98" s="153">
        <v>49042.098828579612</v>
      </c>
      <c r="H98" s="153">
        <v>49104.474157665041</v>
      </c>
      <c r="I98" s="153">
        <v>49105.314258680635</v>
      </c>
      <c r="J98" s="153">
        <v>49104.577592906397</v>
      </c>
    </row>
    <row r="99" spans="2:16" x14ac:dyDescent="0.25">
      <c r="B99" s="127" t="s">
        <v>137</v>
      </c>
      <c r="C99" s="138" t="s">
        <v>115</v>
      </c>
      <c r="D99" s="20"/>
      <c r="E99" s="153">
        <v>40436.712328767127</v>
      </c>
      <c r="F99" s="153">
        <v>50229.624679834153</v>
      </c>
      <c r="G99" s="153">
        <v>47914.051254493403</v>
      </c>
      <c r="H99" s="153">
        <v>49707.680613245066</v>
      </c>
      <c r="I99" s="153">
        <v>51296.32375956796</v>
      </c>
      <c r="J99" s="153">
        <v>52013.775503068624</v>
      </c>
      <c r="K99" s="115"/>
      <c r="M99" s="115"/>
      <c r="N99" s="115"/>
      <c r="O99" s="69"/>
      <c r="P99" s="69"/>
    </row>
    <row r="100" spans="2:16" x14ac:dyDescent="0.25">
      <c r="B100" s="127" t="s">
        <v>85</v>
      </c>
      <c r="C100" s="138" t="s">
        <v>115</v>
      </c>
      <c r="D100" s="20"/>
      <c r="E100" s="153">
        <v>109200</v>
      </c>
      <c r="F100" s="153">
        <v>109200</v>
      </c>
      <c r="G100" s="153">
        <v>109200</v>
      </c>
      <c r="H100" s="153">
        <v>109200</v>
      </c>
      <c r="I100" s="153">
        <v>109200</v>
      </c>
      <c r="J100" s="153">
        <v>109200</v>
      </c>
      <c r="K100" s="115"/>
      <c r="M100" s="115"/>
      <c r="N100" s="115"/>
      <c r="O100" s="69"/>
      <c r="P100" s="69"/>
    </row>
    <row r="101" spans="2:16" x14ac:dyDescent="0.25">
      <c r="B101" s="128" t="s">
        <v>138</v>
      </c>
      <c r="C101" s="138" t="s">
        <v>115</v>
      </c>
      <c r="D101" s="20"/>
      <c r="E101" s="154">
        <f>E102+E103</f>
        <v>101606.39064041346</v>
      </c>
      <c r="F101" s="154">
        <f t="shared" ref="F101:J101" si="48">F102+F103</f>
        <v>105800.04667211814</v>
      </c>
      <c r="G101" s="154">
        <f t="shared" si="48"/>
        <v>89123.09442508388</v>
      </c>
      <c r="H101" s="154">
        <f t="shared" si="48"/>
        <v>87637.340633886954</v>
      </c>
      <c r="I101" s="154">
        <f t="shared" si="48"/>
        <v>85659.833661388548</v>
      </c>
      <c r="J101" s="154">
        <f t="shared" si="48"/>
        <v>86614.733903228131</v>
      </c>
      <c r="K101" s="115"/>
      <c r="M101" s="115"/>
      <c r="N101" s="115"/>
      <c r="O101" s="69"/>
      <c r="P101" s="69"/>
    </row>
    <row r="102" spans="2:16" s="115" customFormat="1" x14ac:dyDescent="0.25">
      <c r="B102" s="142" t="s">
        <v>135</v>
      </c>
      <c r="C102" s="138" t="s">
        <v>115</v>
      </c>
      <c r="D102" s="20"/>
      <c r="E102" s="187">
        <v>59606.390640413461</v>
      </c>
      <c r="F102" s="187">
        <v>63800.046672118144</v>
      </c>
      <c r="G102" s="187">
        <v>51880.52742453949</v>
      </c>
      <c r="H102" s="187">
        <v>50394.773633342571</v>
      </c>
      <c r="I102" s="187">
        <v>48417.26666084415</v>
      </c>
      <c r="J102" s="187">
        <v>49270.13247254525</v>
      </c>
      <c r="O102" s="69"/>
      <c r="P102" s="69"/>
    </row>
    <row r="103" spans="2:16" x14ac:dyDescent="0.25">
      <c r="B103" s="142" t="s">
        <v>136</v>
      </c>
      <c r="C103" s="138" t="s">
        <v>115</v>
      </c>
      <c r="D103" s="20"/>
      <c r="E103" s="187">
        <v>42000</v>
      </c>
      <c r="F103" s="187">
        <v>42000</v>
      </c>
      <c r="G103" s="187">
        <v>37242.56700054439</v>
      </c>
      <c r="H103" s="187">
        <v>37242.56700054439</v>
      </c>
      <c r="I103" s="187">
        <v>37242.56700054439</v>
      </c>
      <c r="J103" s="187">
        <v>37344.601430682873</v>
      </c>
      <c r="K103" s="115"/>
      <c r="M103" s="115"/>
      <c r="N103" s="115"/>
      <c r="O103" s="69"/>
      <c r="P103" s="69"/>
    </row>
    <row r="104" spans="2:16" x14ac:dyDescent="0.25">
      <c r="G104" s="115"/>
      <c r="I104" s="115"/>
      <c r="J104" s="115"/>
      <c r="K104" s="115"/>
      <c r="M104" s="115"/>
      <c r="N104" s="115"/>
      <c r="O104" s="91"/>
      <c r="P104" s="91"/>
    </row>
    <row r="105" spans="2:16" ht="25.5" x14ac:dyDescent="0.25">
      <c r="B105" s="149" t="s">
        <v>118</v>
      </c>
      <c r="C105" s="175"/>
      <c r="D105" s="30"/>
      <c r="E105" s="177"/>
      <c r="F105" s="177"/>
      <c r="G105" s="177"/>
      <c r="H105" s="177"/>
      <c r="I105" s="177"/>
      <c r="J105" s="177"/>
      <c r="K105" s="115"/>
      <c r="M105" s="115"/>
      <c r="N105" s="115"/>
      <c r="O105" s="91"/>
      <c r="P105" s="91"/>
    </row>
    <row r="106" spans="2:16" x14ac:dyDescent="0.25">
      <c r="B106" s="127" t="s">
        <v>119</v>
      </c>
      <c r="C106" s="138" t="s">
        <v>123</v>
      </c>
      <c r="D106" s="30"/>
      <c r="E106" s="183">
        <f>SUM(E107:E110)</f>
        <v>66626083.791999996</v>
      </c>
      <c r="F106" s="183">
        <f t="shared" ref="F106:J106" si="49">SUM(F107:F110)</f>
        <v>66225501.475249998</v>
      </c>
      <c r="G106" s="183">
        <f>SUM(G107:G110)</f>
        <v>65300191.423</v>
      </c>
      <c r="H106" s="183">
        <f t="shared" si="49"/>
        <v>65432991.423</v>
      </c>
      <c r="I106" s="183">
        <f t="shared" si="49"/>
        <v>65431591.423</v>
      </c>
      <c r="J106" s="183">
        <f t="shared" si="49"/>
        <v>65729791.423</v>
      </c>
      <c r="K106" s="115"/>
      <c r="M106" s="115"/>
      <c r="N106" s="115"/>
    </row>
    <row r="107" spans="2:16" x14ac:dyDescent="0.25">
      <c r="B107" s="127" t="s">
        <v>84</v>
      </c>
      <c r="C107" s="138" t="s">
        <v>123</v>
      </c>
      <c r="D107" s="30"/>
      <c r="E107" s="188">
        <v>9674027.1999999993</v>
      </c>
      <c r="F107" s="188">
        <v>7700000</v>
      </c>
      <c r="G107" s="188">
        <v>13314613.096999999</v>
      </c>
      <c r="H107" s="188">
        <v>13331547.596000001</v>
      </c>
      <c r="I107" s="188">
        <v>13331775.677999999</v>
      </c>
      <c r="J107" s="188">
        <v>13331575.677999999</v>
      </c>
      <c r="K107" s="115"/>
      <c r="M107" s="115"/>
      <c r="N107" s="115"/>
    </row>
    <row r="108" spans="2:16" x14ac:dyDescent="0.25">
      <c r="B108" s="127" t="s">
        <v>86</v>
      </c>
      <c r="C108" s="138" t="s">
        <v>123</v>
      </c>
      <c r="D108" s="30"/>
      <c r="E108" s="188">
        <v>22646290.59</v>
      </c>
      <c r="F108" s="188">
        <v>21051465.475249998</v>
      </c>
      <c r="G108" s="188">
        <v>16935662.326000001</v>
      </c>
      <c r="H108" s="188">
        <v>16701527.827</v>
      </c>
      <c r="I108" s="188">
        <v>16389899.745000001</v>
      </c>
      <c r="J108" s="188">
        <v>16548299.745000001</v>
      </c>
      <c r="K108" s="115"/>
      <c r="M108" s="115"/>
      <c r="N108" s="115"/>
    </row>
    <row r="109" spans="2:16" ht="15" customHeight="1" x14ac:dyDescent="0.25">
      <c r="B109" s="127" t="s">
        <v>85</v>
      </c>
      <c r="C109" s="138" t="s">
        <v>123</v>
      </c>
      <c r="D109" s="30"/>
      <c r="E109" s="188">
        <v>26269950</v>
      </c>
      <c r="F109" s="188">
        <v>26000000</v>
      </c>
      <c r="G109" s="188">
        <v>25700204</v>
      </c>
      <c r="H109" s="188">
        <v>25700204</v>
      </c>
      <c r="I109" s="188">
        <v>25700204</v>
      </c>
      <c r="J109" s="188">
        <v>25700204</v>
      </c>
      <c r="K109" s="115"/>
      <c r="M109" s="115"/>
      <c r="N109" s="115"/>
    </row>
    <row r="110" spans="2:16" ht="13.9" customHeight="1" x14ac:dyDescent="0.25">
      <c r="B110" s="127" t="s">
        <v>146</v>
      </c>
      <c r="C110" s="138" t="s">
        <v>123</v>
      </c>
      <c r="D110" s="30"/>
      <c r="E110" s="188">
        <v>8035816.0020000003</v>
      </c>
      <c r="F110" s="188">
        <v>11474036</v>
      </c>
      <c r="G110" s="188">
        <v>9349712</v>
      </c>
      <c r="H110" s="188">
        <v>9699712</v>
      </c>
      <c r="I110" s="188">
        <v>10009712</v>
      </c>
      <c r="J110" s="188">
        <v>10149712</v>
      </c>
      <c r="K110" s="115"/>
      <c r="M110" s="115"/>
      <c r="N110" s="115"/>
    </row>
    <row r="111" spans="2:16" ht="15" customHeight="1" x14ac:dyDescent="0.25">
      <c r="B111" s="128" t="s">
        <v>120</v>
      </c>
      <c r="C111" s="138" t="s">
        <v>115</v>
      </c>
      <c r="D111" s="40"/>
      <c r="E111" s="183">
        <f>E112+E113</f>
        <v>168060.73200000002</v>
      </c>
      <c r="F111" s="183">
        <f t="shared" ref="F111:J111" si="50">F112+F113</f>
        <v>161519.01199999999</v>
      </c>
      <c r="G111" s="183">
        <f t="shared" si="50"/>
        <v>157156.43299999999</v>
      </c>
      <c r="H111" s="183">
        <f t="shared" si="50"/>
        <v>157156.43299999999</v>
      </c>
      <c r="I111" s="183">
        <f t="shared" si="50"/>
        <v>157156.43299999999</v>
      </c>
      <c r="J111" s="183">
        <f t="shared" si="50"/>
        <v>157156.43299999999</v>
      </c>
      <c r="K111" s="115"/>
      <c r="M111" s="115"/>
      <c r="N111" s="115"/>
    </row>
    <row r="112" spans="2:16" ht="14.45" customHeight="1" x14ac:dyDescent="0.25">
      <c r="B112" s="142" t="s">
        <v>135</v>
      </c>
      <c r="C112" s="138" t="s">
        <v>115</v>
      </c>
      <c r="D112" s="40"/>
      <c r="E112" s="187">
        <v>126060.732</v>
      </c>
      <c r="F112" s="187">
        <v>119519.012</v>
      </c>
      <c r="G112" s="187">
        <v>133156.43299999999</v>
      </c>
      <c r="H112" s="187">
        <v>133156.43299999999</v>
      </c>
      <c r="I112" s="187">
        <v>133156.43299999999</v>
      </c>
      <c r="J112" s="187">
        <v>133156.43299999999</v>
      </c>
      <c r="K112" s="115"/>
      <c r="M112" s="115"/>
      <c r="N112" s="115"/>
      <c r="O112" s="93"/>
      <c r="P112" s="93"/>
    </row>
    <row r="113" spans="2:25" s="115" customFormat="1" ht="14.45" customHeight="1" x14ac:dyDescent="0.25">
      <c r="B113" s="142" t="s">
        <v>136</v>
      </c>
      <c r="C113" s="138" t="s">
        <v>115</v>
      </c>
      <c r="D113" s="40"/>
      <c r="E113" s="187">
        <v>42000</v>
      </c>
      <c r="F113" s="187">
        <v>42000</v>
      </c>
      <c r="G113" s="187">
        <v>24000</v>
      </c>
      <c r="H113" s="187">
        <v>24000</v>
      </c>
      <c r="I113" s="187">
        <v>24000</v>
      </c>
      <c r="J113" s="187">
        <v>24000</v>
      </c>
    </row>
    <row r="114" spans="2:25" ht="14.45" customHeight="1" x14ac:dyDescent="0.25">
      <c r="B114" s="128" t="s">
        <v>138</v>
      </c>
      <c r="C114" s="138" t="s">
        <v>123</v>
      </c>
      <c r="D114" s="40"/>
      <c r="E114" s="183">
        <f>ROUND(E108,0)</f>
        <v>22646291</v>
      </c>
      <c r="F114" s="183">
        <f>ROUND(F108,0)</f>
        <v>21051465</v>
      </c>
      <c r="G114" s="183">
        <f t="shared" ref="G114:J114" si="51">ROUND(G108,0)</f>
        <v>16935662</v>
      </c>
      <c r="H114" s="183">
        <f t="shared" si="51"/>
        <v>16701528</v>
      </c>
      <c r="I114" s="183">
        <f t="shared" si="51"/>
        <v>16389900</v>
      </c>
      <c r="J114" s="183">
        <f t="shared" si="51"/>
        <v>16548300</v>
      </c>
      <c r="K114" s="115"/>
      <c r="M114" s="115"/>
      <c r="N114" s="115"/>
      <c r="O114" s="96"/>
      <c r="P114" s="96"/>
      <c r="Q114" s="96"/>
    </row>
    <row r="115" spans="2:25" ht="14.45" customHeight="1" x14ac:dyDescent="0.25">
      <c r="B115" s="142" t="s">
        <v>135</v>
      </c>
      <c r="C115" s="138" t="s">
        <v>123</v>
      </c>
      <c r="D115" s="40"/>
      <c r="E115" s="188">
        <v>9758215.7899999991</v>
      </c>
      <c r="F115" s="188">
        <v>10121465.47525</v>
      </c>
      <c r="G115" s="188">
        <v>8175662.3260000004</v>
      </c>
      <c r="H115" s="188">
        <v>7941527.8269999996</v>
      </c>
      <c r="I115" s="188">
        <v>7629899.7450000001</v>
      </c>
      <c r="J115" s="188">
        <v>7764299.7450000001</v>
      </c>
      <c r="K115" s="115"/>
      <c r="M115" s="115"/>
      <c r="N115" s="115"/>
      <c r="O115" s="76"/>
      <c r="P115" s="76"/>
      <c r="Q115" s="96"/>
      <c r="U115" s="93"/>
      <c r="V115" s="93"/>
    </row>
    <row r="116" spans="2:25" ht="14.45" customHeight="1" x14ac:dyDescent="0.25">
      <c r="B116" s="142" t="s">
        <v>136</v>
      </c>
      <c r="C116" s="138" t="s">
        <v>123</v>
      </c>
      <c r="D116" s="40"/>
      <c r="E116" s="184">
        <f>E114-E115</f>
        <v>12888075.210000001</v>
      </c>
      <c r="F116" s="184">
        <f t="shared" ref="F116:J116" si="52">F114-F115</f>
        <v>10929999.52475</v>
      </c>
      <c r="G116" s="184">
        <f t="shared" si="52"/>
        <v>8759999.6739999987</v>
      </c>
      <c r="H116" s="184">
        <f t="shared" si="52"/>
        <v>8760000.1730000004</v>
      </c>
      <c r="I116" s="184">
        <f t="shared" si="52"/>
        <v>8760000.254999999</v>
      </c>
      <c r="J116" s="184">
        <f t="shared" si="52"/>
        <v>8784000.254999999</v>
      </c>
      <c r="K116" s="115"/>
      <c r="M116" s="115"/>
      <c r="N116" s="115"/>
      <c r="O116" s="121"/>
      <c r="P116" s="121"/>
      <c r="Q116" s="96"/>
      <c r="R116" s="115"/>
      <c r="S116" s="115"/>
      <c r="T116" s="115"/>
      <c r="U116" s="93"/>
      <c r="V116" s="97"/>
      <c r="W116" s="115"/>
      <c r="X116" s="115"/>
      <c r="Y116" s="115"/>
    </row>
    <row r="117" spans="2:25" ht="15.75" thickBot="1" x14ac:dyDescent="0.3">
      <c r="B117" s="21"/>
      <c r="C117" s="13"/>
      <c r="D117" s="35"/>
      <c r="E117" s="65"/>
      <c r="F117" s="95"/>
      <c r="G117" s="95"/>
      <c r="H117" s="95"/>
      <c r="I117" s="95"/>
      <c r="J117" s="95"/>
      <c r="K117" s="115"/>
      <c r="M117" s="115"/>
      <c r="N117" s="115"/>
      <c r="Q117" s="115"/>
      <c r="R117" s="115"/>
      <c r="S117" s="115"/>
      <c r="T117" s="115"/>
      <c r="U117" s="115"/>
      <c r="V117" s="115"/>
      <c r="W117" s="115"/>
      <c r="X117" s="115"/>
      <c r="Y117" s="115"/>
    </row>
    <row r="118" spans="2:25" ht="16.149999999999999" customHeight="1" x14ac:dyDescent="0.25">
      <c r="B118" s="271" t="s">
        <v>121</v>
      </c>
      <c r="C118" s="272"/>
      <c r="D118" s="273"/>
      <c r="E118" s="274" t="s">
        <v>170</v>
      </c>
      <c r="F118" s="282" t="s">
        <v>175</v>
      </c>
      <c r="G118" s="274" t="s">
        <v>187</v>
      </c>
      <c r="H118" s="282" t="s">
        <v>188</v>
      </c>
      <c r="I118" s="274" t="s">
        <v>189</v>
      </c>
      <c r="J118" s="310" t="s">
        <v>190</v>
      </c>
      <c r="K118" s="115"/>
      <c r="M118" s="115"/>
      <c r="N118" s="115"/>
      <c r="Q118" s="115"/>
      <c r="R118" s="115"/>
      <c r="S118" s="115"/>
      <c r="T118" s="115"/>
      <c r="U118" s="115"/>
      <c r="V118" s="115"/>
      <c r="W118" s="115"/>
    </row>
    <row r="119" spans="2:25" ht="13.9" customHeight="1" x14ac:dyDescent="0.25">
      <c r="B119" s="275" t="s">
        <v>122</v>
      </c>
      <c r="C119" s="175"/>
      <c r="D119" s="30"/>
      <c r="E119" s="267"/>
      <c r="F119" s="283"/>
      <c r="G119" s="283"/>
      <c r="H119" s="283"/>
      <c r="I119" s="283"/>
      <c r="J119" s="311"/>
      <c r="K119" s="115"/>
      <c r="M119" s="115"/>
      <c r="N119" s="115"/>
      <c r="Q119" s="115"/>
      <c r="R119" s="115"/>
      <c r="S119" s="115"/>
      <c r="T119" s="115"/>
      <c r="U119" s="115"/>
      <c r="V119" s="115"/>
      <c r="W119" s="115"/>
    </row>
    <row r="120" spans="2:25" x14ac:dyDescent="0.25">
      <c r="B120" s="276" t="s">
        <v>80</v>
      </c>
      <c r="C120" s="138" t="s">
        <v>124</v>
      </c>
      <c r="D120" s="36"/>
      <c r="E120" s="266">
        <f t="shared" ref="E120:F120" si="53">E69*E75/E90*1000</f>
        <v>142.76999999999998</v>
      </c>
      <c r="F120" s="284">
        <f t="shared" si="53"/>
        <v>142.77000000000001</v>
      </c>
      <c r="G120" s="284">
        <f>G69*G75/G90*1000</f>
        <v>142.76999999999998</v>
      </c>
      <c r="H120" s="326">
        <f t="shared" ref="H120:J120" si="54">H69*H75/H90*1000</f>
        <v>142.76999999999992</v>
      </c>
      <c r="I120" s="326">
        <f t="shared" si="54"/>
        <v>142.77000000000001</v>
      </c>
      <c r="J120" s="327">
        <f t="shared" si="54"/>
        <v>142.7699999999999</v>
      </c>
      <c r="K120" s="115"/>
      <c r="M120" s="115"/>
      <c r="N120" s="115"/>
      <c r="O120" s="123"/>
      <c r="Q120" s="115"/>
      <c r="R120" s="115"/>
      <c r="S120" s="115"/>
      <c r="T120" s="115"/>
      <c r="U120" s="115"/>
      <c r="V120" s="115"/>
      <c r="W120" s="115"/>
    </row>
    <row r="121" spans="2:25" s="115" customFormat="1" x14ac:dyDescent="0.25">
      <c r="B121" s="276" t="s">
        <v>181</v>
      </c>
      <c r="C121" s="138" t="s">
        <v>124</v>
      </c>
      <c r="D121" s="36"/>
      <c r="E121" s="266">
        <f>+E120</f>
        <v>142.76999999999998</v>
      </c>
      <c r="F121" s="284">
        <f>+F120</f>
        <v>142.77000000000001</v>
      </c>
      <c r="G121" s="284">
        <f>+G120</f>
        <v>142.76999999999998</v>
      </c>
      <c r="H121" s="284">
        <f t="shared" ref="H121:J121" si="55">+H120</f>
        <v>142.76999999999992</v>
      </c>
      <c r="I121" s="284">
        <f t="shared" si="55"/>
        <v>142.77000000000001</v>
      </c>
      <c r="J121" s="312">
        <f t="shared" si="55"/>
        <v>142.7699999999999</v>
      </c>
      <c r="O121" s="123"/>
    </row>
    <row r="122" spans="2:25" x14ac:dyDescent="0.25">
      <c r="B122" s="276" t="s">
        <v>81</v>
      </c>
      <c r="C122" s="138" t="s">
        <v>124</v>
      </c>
      <c r="D122" s="36"/>
      <c r="E122" s="266">
        <v>35.96</v>
      </c>
      <c r="F122" s="284">
        <f>IF(F120=142.77,$E$122,F68*F86/F96*1000)</f>
        <v>35.96</v>
      </c>
      <c r="G122" s="284">
        <f>IF(G120=142.77,$E$122,G68*G86/G96*1000)</f>
        <v>35.96</v>
      </c>
      <c r="H122" s="284">
        <f t="shared" ref="H122:J122" si="56">IF(H120=142.77,$E$122,H68*H86/H96*1000)</f>
        <v>35.96</v>
      </c>
      <c r="I122" s="284">
        <f t="shared" si="56"/>
        <v>35.96</v>
      </c>
      <c r="J122" s="312">
        <f t="shared" si="56"/>
        <v>35.96</v>
      </c>
      <c r="K122" s="115"/>
      <c r="M122" s="115"/>
      <c r="N122" s="115"/>
      <c r="O122" s="123"/>
      <c r="Q122" s="115"/>
      <c r="R122" s="115"/>
      <c r="S122" s="115"/>
      <c r="T122" s="115"/>
      <c r="U122" s="115"/>
      <c r="V122" s="115"/>
      <c r="W122" s="115"/>
    </row>
    <row r="123" spans="2:25" x14ac:dyDescent="0.25">
      <c r="B123" s="276" t="s">
        <v>82</v>
      </c>
      <c r="C123" s="138" t="s">
        <v>124</v>
      </c>
      <c r="D123" s="36"/>
      <c r="E123" s="266">
        <f>E120</f>
        <v>142.76999999999998</v>
      </c>
      <c r="F123" s="284">
        <f t="shared" ref="F123:J123" si="57">F120</f>
        <v>142.77000000000001</v>
      </c>
      <c r="G123" s="284">
        <f>G120</f>
        <v>142.76999999999998</v>
      </c>
      <c r="H123" s="284">
        <f t="shared" si="57"/>
        <v>142.76999999999992</v>
      </c>
      <c r="I123" s="284">
        <f t="shared" si="57"/>
        <v>142.77000000000001</v>
      </c>
      <c r="J123" s="312">
        <f t="shared" si="57"/>
        <v>142.7699999999999</v>
      </c>
      <c r="K123" s="115"/>
      <c r="M123" s="115"/>
      <c r="N123" s="115"/>
      <c r="O123" s="123"/>
      <c r="Q123" s="115"/>
      <c r="R123" s="115"/>
      <c r="S123" s="115"/>
      <c r="T123" s="115"/>
      <c r="U123" s="115"/>
      <c r="V123" s="115"/>
      <c r="W123" s="115"/>
    </row>
    <row r="124" spans="2:25" x14ac:dyDescent="0.25">
      <c r="B124" s="276" t="s">
        <v>83</v>
      </c>
      <c r="C124" s="138" t="s">
        <v>124</v>
      </c>
      <c r="D124" s="36"/>
      <c r="E124" s="266">
        <f t="shared" ref="E124:F124" si="58">E69*E75/E90*1000*(1-E82)</f>
        <v>142.76999999999998</v>
      </c>
      <c r="F124" s="284">
        <f t="shared" si="58"/>
        <v>142.77000000000001</v>
      </c>
      <c r="G124" s="284">
        <f t="shared" ref="G124:J124" si="59">G69*G75/G90*1000*(1-G82)</f>
        <v>142.76999999999998</v>
      </c>
      <c r="H124" s="284">
        <f t="shared" si="59"/>
        <v>142.76999999999992</v>
      </c>
      <c r="I124" s="284">
        <f t="shared" si="59"/>
        <v>142.77000000000001</v>
      </c>
      <c r="J124" s="312">
        <f t="shared" si="59"/>
        <v>142.7699999999999</v>
      </c>
      <c r="K124" s="115"/>
      <c r="M124" s="115"/>
      <c r="N124" s="115"/>
      <c r="O124" s="123"/>
      <c r="Q124" s="115"/>
      <c r="R124" s="115"/>
      <c r="S124" s="115"/>
      <c r="T124" s="115"/>
      <c r="U124" s="115"/>
      <c r="V124" s="115"/>
      <c r="W124" s="115"/>
    </row>
    <row r="125" spans="2:25" s="115" customFormat="1" x14ac:dyDescent="0.25">
      <c r="B125" s="276" t="s">
        <v>149</v>
      </c>
      <c r="C125" s="138" t="s">
        <v>124</v>
      </c>
      <c r="D125" s="36"/>
      <c r="E125" s="266">
        <f t="shared" ref="E125:F125" si="60">E69*E75/E90*1000*(1-E83)</f>
        <v>142.76999999999998</v>
      </c>
      <c r="F125" s="284">
        <f t="shared" si="60"/>
        <v>142.77000000000001</v>
      </c>
      <c r="G125" s="284">
        <f t="shared" ref="G125:J125" si="61">G69*G75/G90*1000*(1-G83)</f>
        <v>142.76999999999998</v>
      </c>
      <c r="H125" s="284">
        <f t="shared" si="61"/>
        <v>142.76999999999992</v>
      </c>
      <c r="I125" s="284">
        <f t="shared" si="61"/>
        <v>142.77000000000001</v>
      </c>
      <c r="J125" s="312">
        <f t="shared" si="61"/>
        <v>142.7699999999999</v>
      </c>
      <c r="O125" s="123"/>
    </row>
    <row r="126" spans="2:25" x14ac:dyDescent="0.25">
      <c r="B126" s="276" t="s">
        <v>84</v>
      </c>
      <c r="C126" s="138" t="s">
        <v>124</v>
      </c>
      <c r="D126" s="37"/>
      <c r="E126" s="266">
        <f>(E69*E76+(E120-E124)*E94/1000)/(E98+E101+E99)*1000+E17/E98*1000+E14/(E98+E99+E101)*1000+((E120-E125)*E95)/(E98+E101)</f>
        <v>116.65766145808864</v>
      </c>
      <c r="F126" s="266">
        <f>(F69*F76+(F120-F124)*F94/1000)/(F98+F101+F99)*1000+F17/F98*1000+F14/(F98+F99+F101)*1000+((F120-F125)*F95)/(F98+F101)</f>
        <v>109.26534756520579</v>
      </c>
      <c r="G126" s="266">
        <f>(G69*G76+(G120-G124)*G94/1000)/(G98+G101+G99)*1000+G17/G98*1000+G14/(G98+G99+G101)*1000+((G120-G125)*G95)/(G98+G101)</f>
        <v>84.295247866741676</v>
      </c>
      <c r="H126" s="266">
        <f t="shared" ref="H126:J126" si="62">(H69*H76+(H120-H124)*H94/1000)/(H98+H101+H99)*1000+H17/H98*1000+H14/(H98+H99+H101)*1000+((H120-H125)*H95)/(H98+H101)</f>
        <v>88.970299498508496</v>
      </c>
      <c r="I126" s="266">
        <f t="shared" si="62"/>
        <v>98.801353795561781</v>
      </c>
      <c r="J126" s="312">
        <f t="shared" si="62"/>
        <v>111.15619495647526</v>
      </c>
      <c r="K126" s="115"/>
      <c r="M126" s="115"/>
      <c r="N126" s="115"/>
      <c r="O126" s="123"/>
      <c r="Q126" s="115"/>
      <c r="R126" s="115"/>
      <c r="S126" s="115"/>
      <c r="T126" s="115"/>
      <c r="U126" s="115"/>
      <c r="V126" s="115"/>
      <c r="W126" s="115"/>
    </row>
    <row r="127" spans="2:25" x14ac:dyDescent="0.25">
      <c r="B127" s="276" t="s">
        <v>85</v>
      </c>
      <c r="C127" s="138" t="s">
        <v>124</v>
      </c>
      <c r="D127" s="37"/>
      <c r="E127" s="266">
        <f t="shared" ref="E127:F127" si="63">IF(E120=142.77,(E68-(E96*E122/1000))/E100*1000,E68*E87/E100*1000)</f>
        <v>46.699315120243895</v>
      </c>
      <c r="F127" s="284">
        <f t="shared" si="63"/>
        <v>40.552143722186159</v>
      </c>
      <c r="G127" s="284">
        <f>IF(G120=142.77,(G68-(G96*G122/1000))/G100*1000,G68*G87/G100*1000)</f>
        <v>61.866821156364438</v>
      </c>
      <c r="H127" s="284">
        <f t="shared" ref="H127:J127" si="64">IF(H120=142.77,(H68-(H96*H122/1000))/H100*1000,H68*H87/H100*1000)</f>
        <v>63.97952408207022</v>
      </c>
      <c r="I127" s="284">
        <f t="shared" si="64"/>
        <v>70.206113851905982</v>
      </c>
      <c r="J127" s="312">
        <f t="shared" si="64"/>
        <v>82.823443803833257</v>
      </c>
      <c r="K127" s="115"/>
      <c r="M127" s="115"/>
      <c r="N127" s="115"/>
      <c r="O127" s="123"/>
      <c r="Q127" s="115"/>
      <c r="R127" s="115"/>
      <c r="S127" s="115"/>
      <c r="T127" s="115"/>
      <c r="U127" s="115"/>
      <c r="V127" s="115"/>
      <c r="W127" s="115"/>
    </row>
    <row r="128" spans="2:25" s="115" customFormat="1" x14ac:dyDescent="0.25">
      <c r="B128" s="276" t="s">
        <v>137</v>
      </c>
      <c r="C128" s="138" t="s">
        <v>124</v>
      </c>
      <c r="D128" s="37"/>
      <c r="E128" s="266">
        <f>(E69*E76+(E120-E124)*E94/1000)/(E98+E101+E99)*1000+E14/(E98+E99+E101)*1000+E18/(E99)*1000</f>
        <v>116.65766145808863</v>
      </c>
      <c r="F128" s="266">
        <f>(F69*F76+(F120-F124)*F94/1000)/(F98+F101+F99)*1000+F14/(F98+F99+F101)*1000+F18/(F99)*1000</f>
        <v>109.2653475652058</v>
      </c>
      <c r="G128" s="266">
        <f>(G69*G76+(G120-G124)*G94/1000)/(G98+G101+G99)*1000+G14/(G98+G99+G101)*1000+G18/(G99)*1000</f>
        <v>84.295247866741676</v>
      </c>
      <c r="H128" s="266">
        <f t="shared" ref="H128:J128" si="65">(H69*H76+(H120-H124)*H94/1000)/(H98+H101+H99)*1000+H14/(H98+H99+H101)*1000+H18/(H99)*1000</f>
        <v>88.970299498508496</v>
      </c>
      <c r="I128" s="266">
        <f t="shared" si="65"/>
        <v>98.801353795561781</v>
      </c>
      <c r="J128" s="312">
        <f t="shared" si="65"/>
        <v>111.15619495647526</v>
      </c>
      <c r="O128" s="123"/>
    </row>
    <row r="129" spans="2:23" x14ac:dyDescent="0.25">
      <c r="B129" s="276" t="s">
        <v>150</v>
      </c>
      <c r="C129" s="138" t="s">
        <v>124</v>
      </c>
      <c r="D129" s="36"/>
      <c r="E129" s="266">
        <f>(E69*E76+(E120-E124)*E94/1000)/(E98+E101+E99)*1000+E19/E101*1000+E41/E101*1000+E14/(E98+E99+E101)*1000+((E120-E125)*E95)/(E98+E101)</f>
        <v>41.223226971799235</v>
      </c>
      <c r="F129" s="284">
        <f>(F69*F76+(F120-F124)*F94/1000)/(F98+F101+F99)*1000+F19/F101*1000+F41/F101*1000+F14/(F98+F99+F101)*1000+((F120-F125)*F95)/(F98+F101)</f>
        <v>66.600468053095881</v>
      </c>
      <c r="G129" s="284">
        <f>(G69*G76+(G120-G124)*G94/1000)/(G98+G101+G99)*1000+G19/G101*1000+G41/G101*1000+G14/(G98+G99+G101)*1000+((G120-G125)*G95)/(G98+G101)</f>
        <v>65.336208015787292</v>
      </c>
      <c r="H129" s="284">
        <f t="shared" ref="H129:J129" si="66">(H69*H76+(H120-H124)*H94/1000)/(H98+H101+H99)*1000+H19/H101*1000+H41/H101*1000+H14/(H98+H99+H101)*1000+((H120-H125)*H95)/(H98+H101)</f>
        <v>88.970299498508496</v>
      </c>
      <c r="I129" s="284">
        <f t="shared" si="66"/>
        <v>98.801353795561781</v>
      </c>
      <c r="J129" s="312">
        <f t="shared" si="66"/>
        <v>111.15619495647526</v>
      </c>
      <c r="K129" s="115"/>
      <c r="M129" s="115"/>
      <c r="N129" s="115"/>
      <c r="O129" s="123"/>
      <c r="Q129" s="115"/>
      <c r="R129" s="115"/>
      <c r="S129" s="115"/>
      <c r="T129" s="115"/>
      <c r="U129" s="115"/>
      <c r="V129" s="115"/>
      <c r="W129" s="115"/>
    </row>
    <row r="130" spans="2:23" s="115" customFormat="1" x14ac:dyDescent="0.25">
      <c r="B130" s="277" t="s">
        <v>151</v>
      </c>
      <c r="C130" s="143" t="s">
        <v>124</v>
      </c>
      <c r="D130" s="84"/>
      <c r="E130" s="290">
        <f>+E56/E102*1000</f>
        <v>59.637483815225721</v>
      </c>
      <c r="F130" s="291">
        <f>+F56/F102*1000</f>
        <v>41.331300657335653</v>
      </c>
      <c r="G130" s="291">
        <f t="shared" ref="G130:J130" si="67">+G56/G102*1000</f>
        <v>55.411285398910429</v>
      </c>
      <c r="H130" s="291">
        <f t="shared" si="67"/>
        <v>74.535325340866123</v>
      </c>
      <c r="I130" s="291">
        <f t="shared" si="67"/>
        <v>81.494663047486512</v>
      </c>
      <c r="J130" s="313">
        <f t="shared" si="67"/>
        <v>88.645361206635414</v>
      </c>
      <c r="O130" s="123"/>
    </row>
    <row r="131" spans="2:23" s="115" customFormat="1" x14ac:dyDescent="0.25">
      <c r="B131" s="277" t="s">
        <v>152</v>
      </c>
      <c r="C131" s="143" t="s">
        <v>124</v>
      </c>
      <c r="D131" s="84"/>
      <c r="E131" s="290">
        <f>+E57/E103*1000</f>
        <v>5.1493712802793281</v>
      </c>
      <c r="F131" s="291">
        <f>+F57/F103*1000</f>
        <v>3.6818393840681671</v>
      </c>
      <c r="G131" s="291">
        <f t="shared" ref="G131:J131" si="68">+G57/G103*1000</f>
        <v>4.1844873983235047</v>
      </c>
      <c r="H131" s="291">
        <f t="shared" si="68"/>
        <v>5.5305916049746155</v>
      </c>
      <c r="I131" s="291">
        <f t="shared" si="68"/>
        <v>5.7773696333593101</v>
      </c>
      <c r="J131" s="313">
        <f t="shared" si="68"/>
        <v>6.1545030519487014</v>
      </c>
      <c r="O131" s="123"/>
    </row>
    <row r="132" spans="2:23" s="115" customFormat="1" x14ac:dyDescent="0.25">
      <c r="B132" s="276" t="s">
        <v>163</v>
      </c>
      <c r="C132" s="138" t="s">
        <v>124</v>
      </c>
      <c r="D132" s="84"/>
      <c r="E132" s="266">
        <f>+E129+E130</f>
        <v>100.86071078702496</v>
      </c>
      <c r="F132" s="289">
        <f>+F129+F130</f>
        <v>107.93176871043153</v>
      </c>
      <c r="G132" s="289">
        <f t="shared" ref="G132:J132" si="69">+G129+G130</f>
        <v>120.74749341469771</v>
      </c>
      <c r="H132" s="289">
        <f t="shared" si="69"/>
        <v>163.5056248393746</v>
      </c>
      <c r="I132" s="289">
        <f t="shared" si="69"/>
        <v>180.29601684304828</v>
      </c>
      <c r="J132" s="314">
        <f t="shared" si="69"/>
        <v>199.80155616311066</v>
      </c>
      <c r="O132" s="123"/>
    </row>
    <row r="133" spans="2:23" s="115" customFormat="1" ht="15.75" thickBot="1" x14ac:dyDescent="0.3">
      <c r="B133" s="276" t="s">
        <v>164</v>
      </c>
      <c r="C133" s="138" t="s">
        <v>124</v>
      </c>
      <c r="D133" s="84"/>
      <c r="E133" s="266">
        <f>+E129+E131</f>
        <v>46.372598252078561</v>
      </c>
      <c r="F133" s="284">
        <f>+F129+F131</f>
        <v>70.28230743716405</v>
      </c>
      <c r="G133" s="284">
        <f t="shared" ref="G133:J133" si="70">+G129+G131</f>
        <v>69.520695414110804</v>
      </c>
      <c r="H133" s="284">
        <f t="shared" si="70"/>
        <v>94.500891103483113</v>
      </c>
      <c r="I133" s="284">
        <f t="shared" si="70"/>
        <v>104.57872342892109</v>
      </c>
      <c r="J133" s="312">
        <f t="shared" si="70"/>
        <v>117.31069800842397</v>
      </c>
      <c r="O133" s="123"/>
    </row>
    <row r="134" spans="2:23" ht="15.75" x14ac:dyDescent="0.25">
      <c r="B134" s="275" t="s">
        <v>125</v>
      </c>
      <c r="C134" s="175"/>
      <c r="D134" s="30"/>
      <c r="E134" s="274" t="s">
        <v>170</v>
      </c>
      <c r="F134" s="282" t="s">
        <v>175</v>
      </c>
      <c r="G134" s="274" t="s">
        <v>187</v>
      </c>
      <c r="H134" s="282" t="s">
        <v>188</v>
      </c>
      <c r="I134" s="274" t="s">
        <v>189</v>
      </c>
      <c r="J134" s="310" t="s">
        <v>190</v>
      </c>
      <c r="K134" s="115"/>
      <c r="M134" s="115"/>
      <c r="N134" s="115"/>
      <c r="O134" s="123"/>
      <c r="Q134" s="115"/>
      <c r="R134" s="115"/>
      <c r="S134" s="115"/>
      <c r="T134" s="115"/>
      <c r="U134" s="115"/>
      <c r="V134" s="115"/>
      <c r="W134" s="115"/>
    </row>
    <row r="135" spans="2:23" x14ac:dyDescent="0.25">
      <c r="B135" s="275"/>
      <c r="C135" s="175"/>
      <c r="D135" s="30"/>
      <c r="E135" s="269"/>
      <c r="F135" s="286"/>
      <c r="G135" s="286"/>
      <c r="H135" s="286"/>
      <c r="I135" s="286"/>
      <c r="J135" s="315"/>
      <c r="K135" s="115"/>
      <c r="M135" s="115"/>
      <c r="N135" s="115"/>
      <c r="O135" s="123"/>
      <c r="Q135" s="115"/>
      <c r="R135" s="115"/>
      <c r="S135" s="115"/>
      <c r="T135" s="115"/>
      <c r="U135" s="115"/>
      <c r="V135" s="115"/>
      <c r="W135" s="115"/>
    </row>
    <row r="136" spans="2:23" x14ac:dyDescent="0.25">
      <c r="B136" s="276" t="s">
        <v>84</v>
      </c>
      <c r="C136" s="138" t="s">
        <v>2</v>
      </c>
      <c r="D136" s="36"/>
      <c r="E136" s="266">
        <f>E148</f>
        <v>9.1981933369102722E-2</v>
      </c>
      <c r="F136" s="284">
        <f t="shared" ref="F136:J136" si="71">F148</f>
        <v>0.17357743896709932</v>
      </c>
      <c r="G136" s="284">
        <f t="shared" si="71"/>
        <v>0.10758483622952369</v>
      </c>
      <c r="H136" s="284">
        <f t="shared" si="71"/>
        <v>0.10736174286432938</v>
      </c>
      <c r="I136" s="284">
        <f t="shared" si="71"/>
        <v>0.10736404001829959</v>
      </c>
      <c r="J136" s="312">
        <f t="shared" si="71"/>
        <v>0.10687695560740564</v>
      </c>
      <c r="K136" s="115"/>
      <c r="M136" s="115"/>
      <c r="N136" s="115"/>
      <c r="O136" s="123"/>
      <c r="Q136" s="115"/>
      <c r="R136" s="115"/>
      <c r="S136" s="115"/>
      <c r="T136" s="115"/>
      <c r="U136" s="115"/>
      <c r="V136" s="115"/>
      <c r="W136" s="115"/>
    </row>
    <row r="137" spans="2:23" x14ac:dyDescent="0.25">
      <c r="B137" s="276" t="s">
        <v>85</v>
      </c>
      <c r="C137" s="138" t="s">
        <v>2</v>
      </c>
      <c r="D137" s="36"/>
      <c r="E137" s="266">
        <f>E136</f>
        <v>9.1981933369102722E-2</v>
      </c>
      <c r="F137" s="284">
        <f t="shared" ref="F137:J137" si="72">F136</f>
        <v>0.17357743896709932</v>
      </c>
      <c r="G137" s="284">
        <f t="shared" si="72"/>
        <v>0.10758483622952369</v>
      </c>
      <c r="H137" s="284">
        <f t="shared" si="72"/>
        <v>0.10736174286432938</v>
      </c>
      <c r="I137" s="284">
        <f t="shared" si="72"/>
        <v>0.10736404001829959</v>
      </c>
      <c r="J137" s="312">
        <f t="shared" si="72"/>
        <v>0.10687695560740564</v>
      </c>
      <c r="K137" s="115"/>
      <c r="M137" s="115"/>
      <c r="N137" s="115"/>
      <c r="O137" s="123"/>
      <c r="Q137" s="115"/>
      <c r="R137" s="115"/>
      <c r="S137" s="115"/>
      <c r="T137" s="115"/>
      <c r="U137" s="115"/>
      <c r="V137" s="115"/>
      <c r="W137" s="115"/>
    </row>
    <row r="138" spans="2:23" x14ac:dyDescent="0.25">
      <c r="B138" s="276" t="s">
        <v>86</v>
      </c>
      <c r="C138" s="138" t="s">
        <v>2</v>
      </c>
      <c r="D138" s="36"/>
      <c r="E138" s="266">
        <f t="shared" ref="E138:F138" si="73">E137</f>
        <v>9.1981933369102722E-2</v>
      </c>
      <c r="F138" s="284">
        <f t="shared" si="73"/>
        <v>0.17357743896709932</v>
      </c>
      <c r="G138" s="284">
        <f t="shared" ref="G138:J138" si="74">G137</f>
        <v>0.10758483622952369</v>
      </c>
      <c r="H138" s="284">
        <f t="shared" si="74"/>
        <v>0.10736174286432938</v>
      </c>
      <c r="I138" s="284">
        <f t="shared" si="74"/>
        <v>0.10736404001829959</v>
      </c>
      <c r="J138" s="312">
        <f t="shared" si="74"/>
        <v>0.10687695560740564</v>
      </c>
      <c r="K138" s="115"/>
      <c r="M138" s="115"/>
      <c r="N138" s="115"/>
      <c r="O138" s="123"/>
      <c r="Q138" s="115"/>
      <c r="R138" s="115"/>
      <c r="S138" s="115"/>
      <c r="T138" s="115"/>
      <c r="U138" s="115"/>
      <c r="V138" s="115"/>
      <c r="W138" s="115"/>
    </row>
    <row r="139" spans="2:23" x14ac:dyDescent="0.25">
      <c r="B139" s="276" t="s">
        <v>147</v>
      </c>
      <c r="C139" s="138" t="s">
        <v>2</v>
      </c>
      <c r="D139" s="36"/>
      <c r="E139" s="266">
        <f t="shared" ref="E139:F139" si="75">E138</f>
        <v>9.1981933369102722E-2</v>
      </c>
      <c r="F139" s="284">
        <f t="shared" si="75"/>
        <v>0.17357743896709932</v>
      </c>
      <c r="G139" s="284">
        <f t="shared" ref="G139:J139" si="76">G138</f>
        <v>0.10758483622952369</v>
      </c>
      <c r="H139" s="284">
        <f t="shared" si="76"/>
        <v>0.10736174286432938</v>
      </c>
      <c r="I139" s="284">
        <f t="shared" si="76"/>
        <v>0.10736404001829959</v>
      </c>
      <c r="J139" s="312">
        <f t="shared" si="76"/>
        <v>0.10687695560740564</v>
      </c>
      <c r="K139" s="115"/>
      <c r="M139" s="115"/>
      <c r="N139" s="115"/>
      <c r="O139" s="123"/>
      <c r="Q139" s="115"/>
      <c r="R139" s="115"/>
      <c r="S139" s="115"/>
      <c r="T139" s="115"/>
      <c r="U139" s="115"/>
      <c r="V139" s="115"/>
      <c r="W139" s="115"/>
    </row>
    <row r="140" spans="2:23" s="115" customFormat="1" x14ac:dyDescent="0.25">
      <c r="B140" s="276" t="s">
        <v>146</v>
      </c>
      <c r="C140" s="138" t="s">
        <v>2</v>
      </c>
      <c r="D140" s="36"/>
      <c r="E140" s="266">
        <f t="shared" ref="E140:F140" si="77">E139</f>
        <v>9.1981933369102722E-2</v>
      </c>
      <c r="F140" s="284">
        <f t="shared" si="77"/>
        <v>0.17357743896709932</v>
      </c>
      <c r="G140" s="284">
        <f t="shared" ref="G140:J140" si="78">G139</f>
        <v>0.10758483622952369</v>
      </c>
      <c r="H140" s="284">
        <f t="shared" si="78"/>
        <v>0.10736174286432938</v>
      </c>
      <c r="I140" s="284">
        <f t="shared" si="78"/>
        <v>0.10736404001829959</v>
      </c>
      <c r="J140" s="312">
        <f t="shared" si="78"/>
        <v>0.10687695560740564</v>
      </c>
      <c r="O140" s="123"/>
    </row>
    <row r="141" spans="2:23" ht="15.6" customHeight="1" x14ac:dyDescent="0.25">
      <c r="B141" s="275" t="s">
        <v>126</v>
      </c>
      <c r="C141" s="175"/>
      <c r="D141" s="30"/>
      <c r="E141" s="268" t="s">
        <v>170</v>
      </c>
      <c r="F141" s="285" t="s">
        <v>175</v>
      </c>
      <c r="G141" s="268" t="s">
        <v>187</v>
      </c>
      <c r="H141" s="285" t="s">
        <v>188</v>
      </c>
      <c r="I141" s="268" t="s">
        <v>189</v>
      </c>
      <c r="J141" s="285" t="s">
        <v>190</v>
      </c>
      <c r="K141" s="115"/>
      <c r="M141" s="115"/>
      <c r="N141" s="115"/>
      <c r="O141" s="123"/>
      <c r="Q141" s="115"/>
      <c r="R141" s="115"/>
      <c r="S141" s="115"/>
      <c r="T141" s="115"/>
      <c r="U141" s="115"/>
      <c r="V141" s="115"/>
      <c r="W141" s="115"/>
    </row>
    <row r="142" spans="2:23" x14ac:dyDescent="0.25">
      <c r="B142" s="275"/>
      <c r="C142" s="175"/>
      <c r="D142" s="30"/>
      <c r="E142" s="270"/>
      <c r="F142" s="287"/>
      <c r="G142" s="287"/>
      <c r="H142" s="287"/>
      <c r="I142" s="287"/>
      <c r="J142" s="316"/>
      <c r="K142" s="115"/>
      <c r="M142" s="115"/>
      <c r="N142" s="115"/>
      <c r="O142" s="123"/>
      <c r="Q142" s="115"/>
      <c r="R142" s="115"/>
      <c r="S142" s="115"/>
      <c r="T142" s="115"/>
      <c r="U142" s="115"/>
      <c r="V142" s="115"/>
      <c r="W142" s="115"/>
    </row>
    <row r="143" spans="2:23" x14ac:dyDescent="0.25">
      <c r="B143" s="276" t="s">
        <v>86</v>
      </c>
      <c r="C143" s="138" t="s">
        <v>124</v>
      </c>
      <c r="D143" s="36"/>
      <c r="E143" s="266">
        <f>+E53/E112*1000</f>
        <v>65.797455202549372</v>
      </c>
      <c r="F143" s="284">
        <f>+F53/F112*1000</f>
        <v>51.480156637343264</v>
      </c>
      <c r="G143" s="284">
        <f t="shared" ref="G143:J143" si="79">+G53/G112*1000</f>
        <v>50.375252948713076</v>
      </c>
      <c r="H143" s="284">
        <f t="shared" si="79"/>
        <v>65.820667579471333</v>
      </c>
      <c r="I143" s="284">
        <f t="shared" si="79"/>
        <v>69.14233933517022</v>
      </c>
      <c r="J143" s="312">
        <f t="shared" si="79"/>
        <v>76.533993737758649</v>
      </c>
      <c r="K143" s="115"/>
      <c r="M143" s="115"/>
      <c r="N143" s="115"/>
      <c r="O143" s="123"/>
      <c r="Q143" s="115"/>
      <c r="R143" s="115"/>
      <c r="S143" s="115"/>
      <c r="T143" s="115"/>
      <c r="U143" s="115"/>
      <c r="V143" s="115"/>
      <c r="W143" s="115"/>
    </row>
    <row r="144" spans="2:23" ht="17.45" customHeight="1" thickBot="1" x14ac:dyDescent="0.3">
      <c r="B144" s="278" t="s">
        <v>147</v>
      </c>
      <c r="C144" s="279" t="s">
        <v>124</v>
      </c>
      <c r="D144" s="280"/>
      <c r="E144" s="281">
        <f>+E54/E113*1000</f>
        <v>12.015199653985098</v>
      </c>
      <c r="F144" s="288">
        <f>+F54/F113*1000</f>
        <v>8.5909585628257243</v>
      </c>
      <c r="G144" s="288">
        <f t="shared" ref="G144:J144" si="80">+G54/G113*1000</f>
        <v>15.151213417569132</v>
      </c>
      <c r="H144" s="288">
        <f t="shared" si="80"/>
        <v>20.025194427866772</v>
      </c>
      <c r="I144" s="288">
        <f t="shared" si="80"/>
        <v>20.918729577792533</v>
      </c>
      <c r="J144" s="317">
        <f t="shared" si="80"/>
        <v>22.345308949341934</v>
      </c>
      <c r="K144" s="115"/>
      <c r="M144" s="115"/>
      <c r="N144" s="115"/>
      <c r="O144" s="123"/>
      <c r="Q144" s="115"/>
      <c r="R144" s="115"/>
      <c r="S144" s="115"/>
      <c r="T144" s="115"/>
      <c r="U144" s="115"/>
      <c r="V144" s="115"/>
      <c r="W144" s="115"/>
    </row>
    <row r="145" spans="2:23" s="115" customFormat="1" x14ac:dyDescent="0.25"/>
    <row r="146" spans="2:23" ht="15.6" customHeight="1" x14ac:dyDescent="0.25">
      <c r="B146" s="292" t="s">
        <v>127</v>
      </c>
      <c r="C146" s="293"/>
      <c r="D146" s="294"/>
      <c r="E146" s="295" t="s">
        <v>170</v>
      </c>
      <c r="F146" s="296" t="s">
        <v>175</v>
      </c>
      <c r="G146" s="295" t="s">
        <v>187</v>
      </c>
      <c r="H146" s="296" t="s">
        <v>188</v>
      </c>
      <c r="I146" s="295" t="s">
        <v>189</v>
      </c>
      <c r="J146" s="296" t="s">
        <v>190</v>
      </c>
      <c r="K146" s="115"/>
      <c r="M146" s="115"/>
      <c r="N146" s="115"/>
      <c r="Q146" s="115"/>
      <c r="R146" s="115"/>
      <c r="S146" s="115"/>
      <c r="T146" s="115"/>
      <c r="U146" s="115"/>
      <c r="V146" s="115"/>
      <c r="W146" s="115"/>
    </row>
    <row r="147" spans="2:23" x14ac:dyDescent="0.25">
      <c r="B147" s="297" t="s">
        <v>128</v>
      </c>
      <c r="C147" s="189"/>
      <c r="D147" s="84"/>
      <c r="E147" s="191"/>
      <c r="F147" s="298"/>
      <c r="G147" s="298"/>
      <c r="H147" s="298"/>
      <c r="I147" s="298"/>
      <c r="J147" s="298"/>
      <c r="K147" s="115"/>
      <c r="M147" s="115"/>
      <c r="N147" s="115"/>
      <c r="Q147" s="115"/>
      <c r="R147" s="115"/>
      <c r="S147" s="115"/>
      <c r="T147" s="115"/>
      <c r="U147" s="115"/>
      <c r="V147" s="115"/>
      <c r="W147" s="115"/>
    </row>
    <row r="148" spans="2:23" x14ac:dyDescent="0.25">
      <c r="B148" s="299" t="s">
        <v>129</v>
      </c>
      <c r="C148" s="300" t="s">
        <v>2</v>
      </c>
      <c r="D148" s="301"/>
      <c r="E148" s="302">
        <f>IF(E80=0%,"N/A",E80*E12/(E106/1000))</f>
        <v>9.1981933369102722E-2</v>
      </c>
      <c r="F148" s="303">
        <f>IF(F80=0%,"N/A",F80*F12/(F106/1000))</f>
        <v>0.17357743896709932</v>
      </c>
      <c r="G148" s="303">
        <f t="shared" ref="G148:J148" si="81">IF(G80=0%,"N/A",G80*G12/(G106/1000))</f>
        <v>0.10758483622952369</v>
      </c>
      <c r="H148" s="303">
        <f t="shared" si="81"/>
        <v>0.10736174286432938</v>
      </c>
      <c r="I148" s="303">
        <f t="shared" si="81"/>
        <v>0.10736404001829959</v>
      </c>
      <c r="J148" s="303">
        <f t="shared" si="81"/>
        <v>0.10687695560740564</v>
      </c>
      <c r="K148" s="115"/>
      <c r="M148" s="115"/>
      <c r="N148" s="115"/>
      <c r="Q148" s="115"/>
      <c r="R148" s="115"/>
      <c r="S148" s="115"/>
      <c r="T148" s="115"/>
      <c r="U148" s="115"/>
      <c r="V148" s="115"/>
      <c r="W148" s="115"/>
    </row>
    <row r="149" spans="2:23" x14ac:dyDescent="0.25">
      <c r="H149"/>
      <c r="K149" s="115"/>
      <c r="L149"/>
      <c r="M149" s="115"/>
      <c r="N149" s="115"/>
      <c r="O149"/>
      <c r="P149"/>
    </row>
    <row r="150" spans="2:23" x14ac:dyDescent="0.25">
      <c r="B150" s="115"/>
      <c r="C150" s="115"/>
      <c r="D150" s="69" t="s">
        <v>199</v>
      </c>
      <c r="E150" s="5">
        <f>E148*E106/1000</f>
        <v>6128.3959999999979</v>
      </c>
      <c r="F150" s="5">
        <f t="shared" ref="F150:J150" si="82">F148*F106/1000</f>
        <v>11495.252940385753</v>
      </c>
      <c r="G150" s="5">
        <f t="shared" si="82"/>
        <v>7025.310400000003</v>
      </c>
      <c r="H150" s="5">
        <f t="shared" si="82"/>
        <v>7024.9999999999964</v>
      </c>
      <c r="I150" s="5">
        <f t="shared" si="82"/>
        <v>7025</v>
      </c>
      <c r="J150" s="5">
        <f t="shared" si="82"/>
        <v>7025.0000000000027</v>
      </c>
    </row>
    <row r="151" spans="2:23" x14ac:dyDescent="0.25">
      <c r="B151" s="115"/>
      <c r="C151" s="115"/>
      <c r="D151" s="115"/>
      <c r="E151" s="5">
        <f t="shared" ref="E151:J151" si="83">(E143*E112+E144*E113)/1000</f>
        <v>8799.113752037958</v>
      </c>
      <c r="F151" s="5">
        <f t="shared" si="83"/>
        <v>6513.6777185391893</v>
      </c>
      <c r="G151" s="5">
        <f t="shared" si="83"/>
        <v>7071.4181161450242</v>
      </c>
      <c r="H151" s="5">
        <f t="shared" si="83"/>
        <v>9245.0499788299494</v>
      </c>
      <c r="I151" s="5">
        <f t="shared" si="83"/>
        <v>9708.7967850138775</v>
      </c>
      <c r="J151" s="5">
        <f t="shared" si="83"/>
        <v>10727.281024148484</v>
      </c>
    </row>
    <row r="152" spans="2:23" x14ac:dyDescent="0.25">
      <c r="B152" s="115"/>
      <c r="C152" s="115"/>
      <c r="D152" s="115"/>
      <c r="E152" s="5">
        <f>(E133*E103+E132*E102+E128*E99+E126*E98+E127*E100)/1000</f>
        <v>22414.192486963919</v>
      </c>
      <c r="F152" s="5">
        <f t="shared" ref="F152:J152" si="84">(F133*F103+F132*F102+F128*F99+F126*F98+F127*F100)/1000</f>
        <v>23072.507370325475</v>
      </c>
      <c r="G152" s="5">
        <f t="shared" si="84"/>
        <v>23782.372374162733</v>
      </c>
      <c r="H152" s="5">
        <f t="shared" si="84"/>
        <v>27537.195753914049</v>
      </c>
      <c r="I152" s="5">
        <f t="shared" si="84"/>
        <v>30210.545831633946</v>
      </c>
      <c r="J152" s="5">
        <f t="shared" si="84"/>
        <v>34509.421834849447</v>
      </c>
    </row>
    <row r="153" spans="2:23" x14ac:dyDescent="0.25">
      <c r="B153" s="115"/>
      <c r="C153" s="115"/>
      <c r="D153" s="115"/>
      <c r="E153" s="5">
        <f>(E120*E90+E96*E122)/1000</f>
        <v>26825.29776099811</v>
      </c>
      <c r="F153" s="5">
        <f t="shared" ref="F153:J153" si="85">(F120*F90+F96*F122)/1000</f>
        <v>25929.561970749575</v>
      </c>
      <c r="G153" s="5">
        <f>(G120*G90+G96*G122)/1000</f>
        <v>25949.009109692255</v>
      </c>
      <c r="H153" s="5">
        <f t="shared" si="85"/>
        <v>25976.779963552497</v>
      </c>
      <c r="I153" s="5">
        <f t="shared" si="85"/>
        <v>25961.624982240646</v>
      </c>
      <c r="J153" s="5">
        <f t="shared" si="85"/>
        <v>26148.491206606381</v>
      </c>
    </row>
    <row r="154" spans="2:23" x14ac:dyDescent="0.25">
      <c r="B154" s="115"/>
      <c r="C154" s="115"/>
      <c r="D154" s="115"/>
      <c r="E154" s="324">
        <f>(E123*E93+E124*E94+E125*E95+E96*E122)/1000</f>
        <v>26825.297760998106</v>
      </c>
      <c r="F154" s="324">
        <f t="shared" ref="F154:J154" si="86">(F123*F93+F124*F94+F125*F95+F96*F122)/1000</f>
        <v>25929.561970749579</v>
      </c>
      <c r="G154" s="324">
        <f t="shared" si="86"/>
        <v>25649.778835719655</v>
      </c>
      <c r="H154" s="324">
        <f t="shared" si="86"/>
        <v>25468.088497799075</v>
      </c>
      <c r="I154" s="324">
        <f t="shared" si="86"/>
        <v>25267.410746624209</v>
      </c>
      <c r="J154" s="324">
        <f t="shared" si="86"/>
        <v>25370.492494277612</v>
      </c>
    </row>
    <row r="155" spans="2:23" x14ac:dyDescent="0.25">
      <c r="B155" s="115"/>
      <c r="C155" s="115"/>
      <c r="D155" s="115"/>
      <c r="E155" s="5">
        <f>SUM(E150:E153)</f>
        <v>64166.999999999985</v>
      </c>
      <c r="F155" s="5">
        <f t="shared" ref="F155:J155" si="87">SUM(F150:F153)</f>
        <v>67011</v>
      </c>
      <c r="G155" s="5">
        <f t="shared" si="87"/>
        <v>63828.110000000015</v>
      </c>
      <c r="H155" s="5">
        <f t="shared" si="87"/>
        <v>69784.025696296492</v>
      </c>
      <c r="I155" s="5">
        <f t="shared" si="87"/>
        <v>72905.96759888847</v>
      </c>
      <c r="J155" s="5">
        <f t="shared" si="87"/>
        <v>78410.194065604315</v>
      </c>
    </row>
    <row r="156" spans="2:23" collapsed="1" x14ac:dyDescent="0.25">
      <c r="B156" s="115"/>
      <c r="C156" s="115"/>
      <c r="D156" s="115"/>
      <c r="E156" s="325">
        <f>E155-E11</f>
        <v>0</v>
      </c>
      <c r="F156" s="325">
        <f t="shared" ref="F156:J156" si="88">F155-F11</f>
        <v>0</v>
      </c>
      <c r="G156" s="325">
        <f t="shared" si="88"/>
        <v>0</v>
      </c>
      <c r="H156" s="325">
        <f t="shared" si="88"/>
        <v>0</v>
      </c>
      <c r="I156" s="325">
        <f t="shared" si="88"/>
        <v>0</v>
      </c>
      <c r="J156" s="325">
        <f t="shared" si="88"/>
        <v>0</v>
      </c>
      <c r="K156" s="5"/>
      <c r="L156" s="91"/>
    </row>
    <row r="157" spans="2:23" x14ac:dyDescent="0.25">
      <c r="B157" s="115"/>
      <c r="C157" s="115"/>
      <c r="D157" s="115"/>
      <c r="E157" s="115"/>
      <c r="F157" s="115"/>
      <c r="G157" s="115"/>
      <c r="I157" s="115"/>
      <c r="J157" s="115"/>
      <c r="K157" s="5"/>
      <c r="L157" s="5"/>
    </row>
    <row r="158" spans="2:23" x14ac:dyDescent="0.25">
      <c r="G158" s="115"/>
      <c r="J158" s="75"/>
      <c r="K158" s="5"/>
      <c r="L158" s="5"/>
    </row>
    <row r="159" spans="2:23" x14ac:dyDescent="0.25">
      <c r="G159" s="115"/>
      <c r="J159" s="115"/>
      <c r="K159" s="5"/>
      <c r="L159" s="5"/>
    </row>
    <row r="160" spans="2:23" x14ac:dyDescent="0.25">
      <c r="L160" s="5"/>
    </row>
    <row r="161" spans="12:12" x14ac:dyDescent="0.25">
      <c r="L161" s="5"/>
    </row>
    <row r="163" spans="12:12" x14ac:dyDescent="0.25">
      <c r="L163" s="5"/>
    </row>
  </sheetData>
  <protectedRanges>
    <protectedRange sqref="E93:J93" name="Range1_7_1" securityDescriptor="O:WDG:WDD:(A;;CC;;;S-1-5-21-1823811621-336188519-2245429935-571)"/>
  </protectedRanges>
  <mergeCells count="8">
    <mergeCell ref="H5:I5"/>
    <mergeCell ref="B43:B44"/>
    <mergeCell ref="B1:F1"/>
    <mergeCell ref="B2:F2"/>
    <mergeCell ref="B4:F4"/>
    <mergeCell ref="B9:C9"/>
    <mergeCell ref="B41:B42"/>
    <mergeCell ref="E9:J9"/>
  </mergeCells>
  <phoneticPr fontId="42" type="noConversion"/>
  <dataValidations count="17">
    <dataValidation type="decimal" allowBlank="1" showErrorMessage="1" errorTitle="Invalid data" error="Values between 0% and 100% must be entered." sqref="E82:J83" xr:uid="{225C9068-19A2-466D-A24B-B9D25B3A0ECD}">
      <formula1>0</formula1>
      <formula2>1</formula2>
    </dataValidation>
    <dataValidation type="list" allowBlank="1" showInputMessage="1" showErrorMessage="1" sqref="D75 D79 D86 D82:D84" xr:uid="{160AAAA3-764F-4CE0-9630-6EE193A8CE97}">
      <formula1>#REF!</formula1>
    </dataValidation>
    <dataValidation type="decimal" allowBlank="1" showInputMessage="1" showErrorMessage="1" errorTitle="Invalid data" error="Values between 0% and 100% must be entered." sqref="E37:J38 E79:J79" xr:uid="{C6952271-C5EE-435E-B9F5-2509B04EF9BA}">
      <formula1>0</formula1>
      <formula2>1</formula2>
    </dataValidation>
    <dataValidation type="decimal" showErrorMessage="1" errorTitle="Invalid data" error="Values between 0% and 100% must be entered." sqref="E75:J75" xr:uid="{BBC5355D-BD60-48FB-9FDB-F04BA9D52681}">
      <formula1>0</formula1>
      <formula2>1</formula2>
    </dataValidation>
    <dataValidation type="whole" allowBlank="1" showInputMessage="1" showErrorMessage="1" errorTitle="Invalid data" error="Values between 0 and the part of allowed revenue allocated for Primary network must be entered." sqref="E27:J27" xr:uid="{36C0B0D4-0DF5-4585-A5D6-66AE7D88D5AF}">
      <formula1>0</formula1>
      <formula2>E26</formula2>
    </dataValidation>
    <dataValidation type="decimal" operator="greaterThanOrEqual" allowBlank="1" showInputMessage="1" showErrorMessage="1" errorTitle="Invalid data" error="Values greater than or equal to the part of allowed revenue allocated for transportation to 3rd country service must be entered." sqref="E26:J26" xr:uid="{60AB61EF-D867-41C0-BCD2-CDA8B43FDE62}">
      <formula1>E27</formula1>
    </dataValidation>
    <dataValidation type="decimal" allowBlank="1" showErrorMessage="1" errorTitle="Invalid data" error="Values between 1 and the difference between 200000 and capacity booking (at Domestic Exit Point) of Group with annual Q &lt;=10.4 TWh must be entered." sqref="E103:J103" xr:uid="{80FB736C-5EFA-4EE0-A510-C27CE224C88C}">
      <formula1>1</formula1>
      <formula2>200000-E102</formula2>
    </dataValidation>
    <dataValidation type="decimal" operator="greaterThanOrEqual" allowBlank="1" showInputMessage="1" showErrorMessage="1" errorTitle="Invalid data" error="Values greater than or equal to the Quantity attributed to the Group of network users with annual Q &lt;= 10.4 TWh must be entered." sqref="E108:J108" xr:uid="{E322E666-1609-4BDB-AC43-F506594C9ECA}">
      <formula1>E115</formula1>
    </dataValidation>
    <dataValidation type="whole" allowBlank="1" showInputMessage="1" showErrorMessage="1" errorTitle="Invalid data" error="Values between 1 and total Domestic Exit Point's Quantity of gas transported must be entered." sqref="E115:J115" xr:uid="{DDC65EBA-E78C-4C14-91A4-3D49B3EFC1BA}">
      <formula1>1</formula1>
      <formula2>E114</formula2>
    </dataValidation>
    <dataValidation type="decimal" allowBlank="1" showInputMessage="1" showErrorMessage="1" errorTitle="Invalid data" error="Values between 1 and the difference between 390533,47 (i.e. the sum of all technical capacity of all Entry (excluding Klaipėda) points) and capacity booking at Šakiai Exit Point must be entered." sqref="E93:J93" xr:uid="{75039CBF-6D85-4FA7-A6C6-C1FF0CE16BFD}">
      <formula1>1</formula1>
      <formula2>390533.47-E100</formula2>
    </dataValidation>
    <dataValidation type="decimal" allowBlank="1" showInputMessage="1" showErrorMessage="1" errorTitle="Invalid data" error="Values between 0 and 67600 (i.e. not greater than technical capacity) must be entered." sqref="E98:J99" xr:uid="{46CBC718-8012-4D0A-8099-4C6F506EDB8A}">
      <formula1>0</formula1>
      <formula2>67600</formula2>
    </dataValidation>
    <dataValidation type="decimal" showErrorMessage="1" errorTitle="Invalid data" error="Values between 1 and 114200 (i.e. not greater than technical capacity) must be entered." sqref="E100:J100" xr:uid="{5718C388-C2FA-4939-99E5-86E1CEB4DCE6}">
      <formula1>1</formula1>
      <formula2>114200</formula2>
    </dataValidation>
    <dataValidation allowBlank="1" showErrorMessage="1" sqref="E101:J101" xr:uid="{D965225E-0A77-49EF-8F95-CDCF183DD44C}"/>
    <dataValidation type="decimal" allowBlank="1" showErrorMessage="1" errorTitle="Invalid data" error="Values between 1 and 200000 must be entered." sqref="E102:J102" xr:uid="{3B73FE83-D84B-45A3-909A-7CE6942D8C26}">
      <formula1>1</formula1>
      <formula2>200000</formula2>
    </dataValidation>
    <dataValidation type="decimal" showErrorMessage="1" errorTitle="Invalid data" error="Values between 1 and 114200 (i.e. not greater than technical capacity at Šakiai Exit Point) must be entered." sqref="E96:J96" xr:uid="{7F01B001-68E2-46B8-BFD1-4DCBAE8F6698}">
      <formula1>1</formula1>
      <formula2>114200</formula2>
    </dataValidation>
    <dataValidation type="decimal" operator="greaterThanOrEqual" allowBlank="1" showInputMessage="1" showErrorMessage="1" errorTitle="Invalid data" error="Values greater than or equal to 0 must be entered." sqref="E107:J107 E109:J110" xr:uid="{6396DB91-1BDE-49FC-B723-6E1C251C6D06}">
      <formula1>0</formula1>
    </dataValidation>
    <dataValidation type="decimal" allowBlank="1" showInputMessage="1" showErrorMessage="1" errorTitle="Invalid data" error="Values between 0 and 122350 (i.e. not greater than technical capacity) must be entered." sqref="E94:J95" xr:uid="{0CC5EAB2-86D0-4602-A42F-0B6F468B612F}">
      <formula1>0</formula1>
      <formula2>122350</formula2>
    </dataValidation>
  </dataValidations>
  <pageMargins left="0.7" right="0.7" top="0.75" bottom="0.75" header="0.3" footer="0.3"/>
  <pageSetup paperSize="9" scale="27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BE168"/>
  <sheetViews>
    <sheetView showGridLines="0" topLeftCell="A95" zoomScale="55" zoomScaleNormal="55" workbookViewId="0">
      <selection activeCell="B83" sqref="B83:AQ154"/>
    </sheetView>
  </sheetViews>
  <sheetFormatPr defaultRowHeight="15" x14ac:dyDescent="0.25"/>
  <cols>
    <col min="1" max="1" width="2.140625" customWidth="1"/>
    <col min="2" max="2" width="59.7109375" customWidth="1"/>
    <col min="3" max="3" width="10.85546875" customWidth="1"/>
    <col min="4" max="19" width="6.7109375" customWidth="1"/>
    <col min="20" max="20" width="9.42578125" customWidth="1"/>
    <col min="21" max="23" width="6.7109375" customWidth="1"/>
    <col min="24" max="24" width="6" bestFit="1" customWidth="1"/>
    <col min="25" max="30" width="6.7109375" customWidth="1"/>
    <col min="31" max="31" width="6.85546875" bestFit="1" customWidth="1"/>
    <col min="32" max="43" width="6.7109375" bestFit="1" customWidth="1"/>
  </cols>
  <sheetData>
    <row r="1" spans="2:36" ht="23.25" x14ac:dyDescent="0.25">
      <c r="B1" s="106" t="s">
        <v>195</v>
      </c>
      <c r="C1" s="79"/>
      <c r="D1" s="79"/>
      <c r="E1" s="79"/>
      <c r="F1" s="79"/>
      <c r="G1" s="79"/>
      <c r="H1" s="79"/>
      <c r="I1" s="79"/>
      <c r="J1" s="79"/>
      <c r="K1" s="79"/>
      <c r="L1" s="79"/>
      <c r="M1" s="79"/>
      <c r="N1" s="79"/>
      <c r="O1" s="79"/>
      <c r="P1" s="79"/>
      <c r="Q1" s="79"/>
      <c r="R1" s="79"/>
      <c r="S1" s="79"/>
      <c r="T1" s="79"/>
      <c r="U1" s="79"/>
      <c r="V1" s="79"/>
      <c r="W1" s="42"/>
    </row>
    <row r="2" spans="2:36" ht="10.5" customHeight="1" x14ac:dyDescent="0.25">
      <c r="B2" s="73"/>
      <c r="C2" s="79"/>
      <c r="D2" s="79"/>
      <c r="E2" s="79"/>
      <c r="F2" s="79"/>
      <c r="G2" s="79"/>
      <c r="H2" s="79"/>
      <c r="I2" s="79"/>
      <c r="J2" s="79"/>
      <c r="K2" s="79"/>
      <c r="L2" s="79"/>
      <c r="M2" s="79"/>
      <c r="N2" s="79"/>
      <c r="O2" s="79"/>
      <c r="P2" s="79"/>
      <c r="Q2" s="79"/>
      <c r="R2" s="79"/>
      <c r="S2" s="79"/>
      <c r="T2" s="79"/>
      <c r="U2" s="79"/>
      <c r="V2" s="79"/>
      <c r="W2" s="72"/>
    </row>
    <row r="3" spans="2:36" ht="10.9" customHeight="1" x14ac:dyDescent="0.25">
      <c r="B3" s="107" t="s">
        <v>200</v>
      </c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18"/>
      <c r="U3" s="18"/>
      <c r="V3" s="18"/>
      <c r="W3" s="18"/>
    </row>
    <row r="4" spans="2:36" x14ac:dyDescent="0.25">
      <c r="B4" s="229" t="s">
        <v>172</v>
      </c>
      <c r="C4" s="3"/>
      <c r="D4" s="3"/>
      <c r="E4" s="3"/>
      <c r="F4" s="3"/>
      <c r="G4" s="3"/>
    </row>
    <row r="5" spans="2:36" x14ac:dyDescent="0.25">
      <c r="B5" s="6"/>
      <c r="C5" s="3"/>
      <c r="D5" s="3"/>
      <c r="E5" s="3"/>
      <c r="F5" s="3"/>
      <c r="G5" s="3"/>
    </row>
    <row r="6" spans="2:36" ht="16.149999999999999" customHeight="1" x14ac:dyDescent="0.25">
      <c r="B6" s="349" t="s">
        <v>55</v>
      </c>
      <c r="C6" s="349"/>
      <c r="D6" s="349"/>
      <c r="E6" s="349"/>
      <c r="F6" s="349"/>
      <c r="G6" s="349"/>
      <c r="H6" s="349"/>
      <c r="I6" s="349"/>
      <c r="J6" s="349"/>
      <c r="K6" s="349"/>
      <c r="L6" s="349"/>
      <c r="M6" s="349"/>
      <c r="N6" s="349"/>
      <c r="O6" s="349"/>
      <c r="P6" s="349"/>
      <c r="Q6" s="349"/>
      <c r="R6" s="349"/>
      <c r="S6" s="349"/>
      <c r="T6" s="195"/>
      <c r="U6" s="195"/>
      <c r="V6" s="195"/>
      <c r="W6" s="195"/>
      <c r="X6" s="195"/>
      <c r="Y6" s="195"/>
      <c r="Z6" s="195"/>
      <c r="AA6" s="195"/>
      <c r="AB6" s="195"/>
      <c r="AC6" s="195"/>
      <c r="AD6" s="195"/>
      <c r="AE6" s="195"/>
      <c r="AF6" s="195"/>
      <c r="AG6" s="195"/>
      <c r="AH6" s="195"/>
      <c r="AI6" s="195"/>
      <c r="AJ6" s="195"/>
    </row>
    <row r="7" spans="2:36" s="58" customFormat="1" ht="6" customHeight="1" x14ac:dyDescent="0.25">
      <c r="B7" s="49"/>
      <c r="C7" s="49"/>
      <c r="D7" s="49"/>
      <c r="E7" s="49"/>
      <c r="F7" s="49"/>
      <c r="G7" s="49"/>
      <c r="H7" s="49"/>
      <c r="I7" s="49"/>
      <c r="J7" s="49"/>
      <c r="K7" s="49"/>
      <c r="L7" s="49"/>
      <c r="M7" s="49"/>
      <c r="N7" s="49"/>
      <c r="O7" s="49"/>
      <c r="P7" s="49"/>
      <c r="Q7" s="49"/>
      <c r="R7" s="49"/>
      <c r="S7" s="49"/>
    </row>
    <row r="8" spans="2:36" x14ac:dyDescent="0.25">
      <c r="B8" s="353" t="s">
        <v>169</v>
      </c>
      <c r="C8" s="353"/>
      <c r="D8" s="353"/>
      <c r="E8" s="353"/>
      <c r="F8" s="353"/>
      <c r="G8" s="353"/>
      <c r="H8" s="353"/>
      <c r="I8" s="353"/>
      <c r="J8" s="353"/>
      <c r="K8" s="353"/>
      <c r="L8" s="353"/>
      <c r="M8" s="353"/>
      <c r="N8" s="353"/>
      <c r="O8" s="353"/>
      <c r="P8" s="353"/>
      <c r="Q8" s="353"/>
      <c r="R8" s="353"/>
      <c r="S8" s="353"/>
      <c r="T8" s="353"/>
      <c r="U8" s="353"/>
      <c r="V8" s="353"/>
      <c r="W8" s="353"/>
      <c r="X8" s="353"/>
      <c r="Y8" s="353"/>
      <c r="Z8" s="353"/>
      <c r="AA8" s="353"/>
      <c r="AB8" s="353"/>
      <c r="AC8" s="353"/>
      <c r="AD8" s="353"/>
      <c r="AE8" s="353"/>
      <c r="AF8" s="353"/>
      <c r="AG8" s="353"/>
      <c r="AH8" s="353"/>
      <c r="AI8" s="353"/>
      <c r="AJ8" s="353"/>
    </row>
    <row r="9" spans="2:36" ht="41.45" customHeight="1" x14ac:dyDescent="0.25">
      <c r="B9" s="335" t="s">
        <v>56</v>
      </c>
      <c r="C9" s="218" t="s">
        <v>57</v>
      </c>
      <c r="D9" s="336" t="s">
        <v>58</v>
      </c>
      <c r="E9" s="336"/>
      <c r="F9" s="336"/>
      <c r="G9" s="336"/>
      <c r="H9" s="352" t="s">
        <v>59</v>
      </c>
      <c r="I9" s="352"/>
      <c r="J9" s="352"/>
      <c r="K9" s="352"/>
      <c r="L9" s="352"/>
      <c r="M9" s="352"/>
      <c r="N9" s="352"/>
      <c r="O9" s="352"/>
      <c r="P9" s="352"/>
      <c r="Q9" s="352"/>
      <c r="R9" s="352"/>
      <c r="S9" s="352"/>
      <c r="T9" s="218" t="s">
        <v>168</v>
      </c>
      <c r="U9" s="336" t="s">
        <v>58</v>
      </c>
      <c r="V9" s="336"/>
      <c r="W9" s="336"/>
      <c r="X9" s="336"/>
      <c r="Y9" s="352" t="s">
        <v>59</v>
      </c>
      <c r="Z9" s="352"/>
      <c r="AA9" s="352"/>
      <c r="AB9" s="352"/>
      <c r="AC9" s="352"/>
      <c r="AD9" s="352"/>
      <c r="AE9" s="352"/>
      <c r="AF9" s="352"/>
      <c r="AG9" s="352"/>
      <c r="AH9" s="352"/>
      <c r="AI9" s="352"/>
      <c r="AJ9" s="352"/>
    </row>
    <row r="10" spans="2:36" x14ac:dyDescent="0.25">
      <c r="B10" s="335"/>
      <c r="C10" s="218"/>
      <c r="D10" s="218" t="s">
        <v>46</v>
      </c>
      <c r="E10" s="218" t="s">
        <v>47</v>
      </c>
      <c r="F10" s="218" t="s">
        <v>48</v>
      </c>
      <c r="G10" s="218" t="s">
        <v>49</v>
      </c>
      <c r="H10" s="218" t="s">
        <v>13</v>
      </c>
      <c r="I10" s="218" t="s">
        <v>14</v>
      </c>
      <c r="J10" s="218" t="s">
        <v>15</v>
      </c>
      <c r="K10" s="218" t="s">
        <v>16</v>
      </c>
      <c r="L10" s="218" t="s">
        <v>17</v>
      </c>
      <c r="M10" s="218" t="s">
        <v>18</v>
      </c>
      <c r="N10" s="218" t="s">
        <v>19</v>
      </c>
      <c r="O10" s="218" t="s">
        <v>20</v>
      </c>
      <c r="P10" s="218" t="s">
        <v>21</v>
      </c>
      <c r="Q10" s="218" t="s">
        <v>22</v>
      </c>
      <c r="R10" s="218" t="s">
        <v>23</v>
      </c>
      <c r="S10" s="218" t="s">
        <v>24</v>
      </c>
      <c r="T10" s="218"/>
      <c r="U10" s="218" t="s">
        <v>46</v>
      </c>
      <c r="V10" s="218" t="s">
        <v>47</v>
      </c>
      <c r="W10" s="218" t="s">
        <v>48</v>
      </c>
      <c r="X10" s="218" t="s">
        <v>49</v>
      </c>
      <c r="Y10" s="218" t="s">
        <v>13</v>
      </c>
      <c r="Z10" s="218" t="s">
        <v>14</v>
      </c>
      <c r="AA10" s="218" t="s">
        <v>15</v>
      </c>
      <c r="AB10" s="218" t="s">
        <v>16</v>
      </c>
      <c r="AC10" s="218" t="s">
        <v>17</v>
      </c>
      <c r="AD10" s="218" t="s">
        <v>18</v>
      </c>
      <c r="AE10" s="218" t="s">
        <v>19</v>
      </c>
      <c r="AF10" s="218" t="s">
        <v>20</v>
      </c>
      <c r="AG10" s="218" t="s">
        <v>21</v>
      </c>
      <c r="AH10" s="218" t="s">
        <v>22</v>
      </c>
      <c r="AI10" s="218" t="s">
        <v>23</v>
      </c>
      <c r="AJ10" s="218" t="s">
        <v>24</v>
      </c>
    </row>
    <row r="11" spans="2:36" x14ac:dyDescent="0.25">
      <c r="B11" s="192">
        <v>2023</v>
      </c>
      <c r="C11" s="193">
        <v>365</v>
      </c>
      <c r="D11" s="194">
        <v>90</v>
      </c>
      <c r="E11" s="194">
        <v>91</v>
      </c>
      <c r="F11" s="194">
        <v>92</v>
      </c>
      <c r="G11" s="194">
        <v>92</v>
      </c>
      <c r="H11" s="228">
        <v>31</v>
      </c>
      <c r="I11" s="228">
        <v>28</v>
      </c>
      <c r="J11" s="228">
        <v>31</v>
      </c>
      <c r="K11" s="228">
        <v>30</v>
      </c>
      <c r="L11" s="228">
        <v>31</v>
      </c>
      <c r="M11" s="228">
        <v>30</v>
      </c>
      <c r="N11" s="228">
        <v>31</v>
      </c>
      <c r="O11" s="228">
        <v>31</v>
      </c>
      <c r="P11" s="228">
        <v>30</v>
      </c>
      <c r="Q11" s="228">
        <v>31</v>
      </c>
      <c r="R11" s="228">
        <v>30</v>
      </c>
      <c r="S11" s="228">
        <v>31</v>
      </c>
      <c r="T11" s="193">
        <v>8760</v>
      </c>
      <c r="U11" s="193">
        <v>2160</v>
      </c>
      <c r="V11" s="193">
        <v>2184</v>
      </c>
      <c r="W11" s="193">
        <v>2208</v>
      </c>
      <c r="X11" s="193">
        <v>2208</v>
      </c>
      <c r="Y11" s="228">
        <v>744</v>
      </c>
      <c r="Z11" s="228">
        <v>672</v>
      </c>
      <c r="AA11" s="228">
        <v>744</v>
      </c>
      <c r="AB11" s="228">
        <v>720</v>
      </c>
      <c r="AC11" s="228">
        <v>744</v>
      </c>
      <c r="AD11" s="228">
        <v>720</v>
      </c>
      <c r="AE11" s="228">
        <v>744</v>
      </c>
      <c r="AF11" s="228">
        <v>744</v>
      </c>
      <c r="AG11" s="228">
        <v>720</v>
      </c>
      <c r="AH11" s="228">
        <v>744</v>
      </c>
      <c r="AI11" s="228">
        <v>720</v>
      </c>
      <c r="AJ11" s="228">
        <v>744</v>
      </c>
    </row>
    <row r="12" spans="2:36" x14ac:dyDescent="0.25">
      <c r="B12" s="192">
        <v>2024</v>
      </c>
      <c r="C12" s="193">
        <v>366</v>
      </c>
      <c r="D12" s="194">
        <v>91</v>
      </c>
      <c r="E12" s="194">
        <v>91</v>
      </c>
      <c r="F12" s="194">
        <v>92</v>
      </c>
      <c r="G12" s="194">
        <v>92</v>
      </c>
      <c r="H12" s="228">
        <v>31</v>
      </c>
      <c r="I12" s="228">
        <v>29</v>
      </c>
      <c r="J12" s="228">
        <v>31</v>
      </c>
      <c r="K12" s="228">
        <v>30</v>
      </c>
      <c r="L12" s="228">
        <v>31</v>
      </c>
      <c r="M12" s="228">
        <v>30</v>
      </c>
      <c r="N12" s="228">
        <v>31</v>
      </c>
      <c r="O12" s="228">
        <v>31</v>
      </c>
      <c r="P12" s="228">
        <v>30</v>
      </c>
      <c r="Q12" s="228">
        <v>31</v>
      </c>
      <c r="R12" s="228">
        <v>30</v>
      </c>
      <c r="S12" s="228">
        <v>31</v>
      </c>
      <c r="T12" s="193">
        <v>8784</v>
      </c>
      <c r="U12" s="193">
        <v>2184</v>
      </c>
      <c r="V12" s="193">
        <v>2184</v>
      </c>
      <c r="W12" s="193">
        <v>2208</v>
      </c>
      <c r="X12" s="193">
        <v>2208</v>
      </c>
      <c r="Y12" s="228">
        <v>744</v>
      </c>
      <c r="Z12" s="228">
        <v>696</v>
      </c>
      <c r="AA12" s="228">
        <v>744</v>
      </c>
      <c r="AB12" s="228">
        <v>720</v>
      </c>
      <c r="AC12" s="228">
        <v>744</v>
      </c>
      <c r="AD12" s="228">
        <v>720</v>
      </c>
      <c r="AE12" s="228">
        <v>744</v>
      </c>
      <c r="AF12" s="228">
        <v>744</v>
      </c>
      <c r="AG12" s="228">
        <v>720</v>
      </c>
      <c r="AH12" s="228">
        <v>744</v>
      </c>
      <c r="AI12" s="228">
        <v>720</v>
      </c>
      <c r="AJ12" s="228">
        <v>744</v>
      </c>
    </row>
    <row r="13" spans="2:36" s="115" customFormat="1" x14ac:dyDescent="0.25">
      <c r="B13" s="192">
        <v>2025</v>
      </c>
      <c r="C13" s="193">
        <v>365</v>
      </c>
      <c r="D13" s="194">
        <v>90</v>
      </c>
      <c r="E13" s="194">
        <v>91</v>
      </c>
      <c r="F13" s="194">
        <v>92</v>
      </c>
      <c r="G13" s="194">
        <v>92</v>
      </c>
      <c r="H13" s="228">
        <v>31</v>
      </c>
      <c r="I13" s="228">
        <v>28</v>
      </c>
      <c r="J13" s="228">
        <v>31</v>
      </c>
      <c r="K13" s="228">
        <v>30</v>
      </c>
      <c r="L13" s="228">
        <v>31</v>
      </c>
      <c r="M13" s="228">
        <v>30</v>
      </c>
      <c r="N13" s="228">
        <v>31</v>
      </c>
      <c r="O13" s="228">
        <v>31</v>
      </c>
      <c r="P13" s="228">
        <v>30</v>
      </c>
      <c r="Q13" s="228">
        <v>31</v>
      </c>
      <c r="R13" s="228">
        <v>30</v>
      </c>
      <c r="S13" s="228">
        <v>31</v>
      </c>
      <c r="T13" s="193">
        <v>8760</v>
      </c>
      <c r="U13" s="193">
        <v>2160</v>
      </c>
      <c r="V13" s="193">
        <v>2184</v>
      </c>
      <c r="W13" s="193">
        <v>2208</v>
      </c>
      <c r="X13" s="193">
        <v>2208</v>
      </c>
      <c r="Y13" s="228">
        <v>744</v>
      </c>
      <c r="Z13" s="228">
        <v>672</v>
      </c>
      <c r="AA13" s="228">
        <v>744</v>
      </c>
      <c r="AB13" s="228">
        <v>720</v>
      </c>
      <c r="AC13" s="228">
        <v>744</v>
      </c>
      <c r="AD13" s="228">
        <v>720</v>
      </c>
      <c r="AE13" s="228">
        <v>744</v>
      </c>
      <c r="AF13" s="228">
        <v>744</v>
      </c>
      <c r="AG13" s="228">
        <v>720</v>
      </c>
      <c r="AH13" s="228">
        <v>744</v>
      </c>
      <c r="AI13" s="228">
        <v>720</v>
      </c>
      <c r="AJ13" s="228">
        <v>744</v>
      </c>
    </row>
    <row r="14" spans="2:36" s="115" customFormat="1" x14ac:dyDescent="0.25">
      <c r="B14" s="192">
        <v>2026</v>
      </c>
      <c r="C14" s="193">
        <v>365</v>
      </c>
      <c r="D14" s="194">
        <v>90</v>
      </c>
      <c r="E14" s="194">
        <v>91</v>
      </c>
      <c r="F14" s="194">
        <v>92</v>
      </c>
      <c r="G14" s="194">
        <v>92</v>
      </c>
      <c r="H14" s="228">
        <v>31</v>
      </c>
      <c r="I14" s="228">
        <v>28</v>
      </c>
      <c r="J14" s="228">
        <v>31</v>
      </c>
      <c r="K14" s="228">
        <v>30</v>
      </c>
      <c r="L14" s="228">
        <v>31</v>
      </c>
      <c r="M14" s="228">
        <v>30</v>
      </c>
      <c r="N14" s="228">
        <v>31</v>
      </c>
      <c r="O14" s="228">
        <v>31</v>
      </c>
      <c r="P14" s="228">
        <v>30</v>
      </c>
      <c r="Q14" s="228">
        <v>31</v>
      </c>
      <c r="R14" s="228">
        <v>30</v>
      </c>
      <c r="S14" s="228">
        <v>31</v>
      </c>
      <c r="T14" s="193">
        <v>8760</v>
      </c>
      <c r="U14" s="193">
        <v>2160</v>
      </c>
      <c r="V14" s="193">
        <v>2184</v>
      </c>
      <c r="W14" s="193">
        <v>2208</v>
      </c>
      <c r="X14" s="193">
        <v>2208</v>
      </c>
      <c r="Y14" s="228">
        <v>744</v>
      </c>
      <c r="Z14" s="228">
        <v>672</v>
      </c>
      <c r="AA14" s="228">
        <v>744</v>
      </c>
      <c r="AB14" s="228">
        <v>720</v>
      </c>
      <c r="AC14" s="228">
        <v>744</v>
      </c>
      <c r="AD14" s="228">
        <v>720</v>
      </c>
      <c r="AE14" s="228">
        <v>744</v>
      </c>
      <c r="AF14" s="228">
        <v>744</v>
      </c>
      <c r="AG14" s="228">
        <v>720</v>
      </c>
      <c r="AH14" s="228">
        <v>744</v>
      </c>
      <c r="AI14" s="228">
        <v>720</v>
      </c>
      <c r="AJ14" s="228">
        <v>744</v>
      </c>
    </row>
    <row r="15" spans="2:36" s="115" customFormat="1" x14ac:dyDescent="0.25">
      <c r="B15" s="192">
        <v>2027</v>
      </c>
      <c r="C15" s="193">
        <v>365</v>
      </c>
      <c r="D15" s="194">
        <v>90</v>
      </c>
      <c r="E15" s="194">
        <v>91</v>
      </c>
      <c r="F15" s="194">
        <v>92</v>
      </c>
      <c r="G15" s="194">
        <v>92</v>
      </c>
      <c r="H15" s="228">
        <v>31</v>
      </c>
      <c r="I15" s="228">
        <v>28</v>
      </c>
      <c r="J15" s="228">
        <v>31</v>
      </c>
      <c r="K15" s="228">
        <v>30</v>
      </c>
      <c r="L15" s="228">
        <v>31</v>
      </c>
      <c r="M15" s="228">
        <v>30</v>
      </c>
      <c r="N15" s="228">
        <v>31</v>
      </c>
      <c r="O15" s="228">
        <v>31</v>
      </c>
      <c r="P15" s="228">
        <v>30</v>
      </c>
      <c r="Q15" s="228">
        <v>31</v>
      </c>
      <c r="R15" s="228">
        <v>30</v>
      </c>
      <c r="S15" s="228">
        <v>31</v>
      </c>
      <c r="T15" s="193">
        <v>8760</v>
      </c>
      <c r="U15" s="193">
        <v>2160</v>
      </c>
      <c r="V15" s="193">
        <v>2184</v>
      </c>
      <c r="W15" s="193">
        <v>2208</v>
      </c>
      <c r="X15" s="193">
        <v>2208</v>
      </c>
      <c r="Y15" s="228">
        <v>744</v>
      </c>
      <c r="Z15" s="228">
        <v>672</v>
      </c>
      <c r="AA15" s="228">
        <v>744</v>
      </c>
      <c r="AB15" s="228">
        <v>720</v>
      </c>
      <c r="AC15" s="228">
        <v>744</v>
      </c>
      <c r="AD15" s="228">
        <v>720</v>
      </c>
      <c r="AE15" s="228">
        <v>744</v>
      </c>
      <c r="AF15" s="228">
        <v>744</v>
      </c>
      <c r="AG15" s="228">
        <v>720</v>
      </c>
      <c r="AH15" s="228">
        <v>744</v>
      </c>
      <c r="AI15" s="228">
        <v>720</v>
      </c>
      <c r="AJ15" s="228">
        <v>744</v>
      </c>
    </row>
    <row r="16" spans="2:36" s="115" customFormat="1" x14ac:dyDescent="0.25">
      <c r="B16" s="192">
        <v>2028</v>
      </c>
      <c r="C16" s="193">
        <v>366</v>
      </c>
      <c r="D16" s="194">
        <v>91</v>
      </c>
      <c r="E16" s="194">
        <v>91</v>
      </c>
      <c r="F16" s="194">
        <v>92</v>
      </c>
      <c r="G16" s="194">
        <v>92</v>
      </c>
      <c r="H16" s="228">
        <v>31</v>
      </c>
      <c r="I16" s="228">
        <v>29</v>
      </c>
      <c r="J16" s="228">
        <v>31</v>
      </c>
      <c r="K16" s="228">
        <v>30</v>
      </c>
      <c r="L16" s="228">
        <v>31</v>
      </c>
      <c r="M16" s="228">
        <v>30</v>
      </c>
      <c r="N16" s="228">
        <v>31</v>
      </c>
      <c r="O16" s="228">
        <v>31</v>
      </c>
      <c r="P16" s="228">
        <v>30</v>
      </c>
      <c r="Q16" s="228">
        <v>31</v>
      </c>
      <c r="R16" s="228">
        <v>30</v>
      </c>
      <c r="S16" s="228">
        <v>31</v>
      </c>
      <c r="T16" s="193">
        <v>8784</v>
      </c>
      <c r="U16" s="193">
        <v>2184</v>
      </c>
      <c r="V16" s="193">
        <v>2184</v>
      </c>
      <c r="W16" s="193">
        <v>2208</v>
      </c>
      <c r="X16" s="193">
        <v>2208</v>
      </c>
      <c r="Y16" s="228">
        <v>744</v>
      </c>
      <c r="Z16" s="228">
        <v>696</v>
      </c>
      <c r="AA16" s="228">
        <v>744</v>
      </c>
      <c r="AB16" s="228">
        <v>720</v>
      </c>
      <c r="AC16" s="228">
        <v>744</v>
      </c>
      <c r="AD16" s="228">
        <v>720</v>
      </c>
      <c r="AE16" s="228">
        <v>744</v>
      </c>
      <c r="AF16" s="228">
        <v>744</v>
      </c>
      <c r="AG16" s="228">
        <v>720</v>
      </c>
      <c r="AH16" s="228">
        <v>744</v>
      </c>
      <c r="AI16" s="228">
        <v>720</v>
      </c>
      <c r="AJ16" s="228">
        <v>744</v>
      </c>
    </row>
    <row r="17" spans="2:31" s="115" customFormat="1" x14ac:dyDescent="0.25"/>
    <row r="18" spans="2:31" x14ac:dyDescent="0.25">
      <c r="B18" s="219" t="s">
        <v>60</v>
      </c>
      <c r="C18" s="219"/>
      <c r="D18" s="219"/>
      <c r="E18" s="219"/>
      <c r="F18" s="219"/>
      <c r="G18" s="219"/>
      <c r="H18" s="219"/>
      <c r="I18" s="219"/>
      <c r="J18" s="219"/>
      <c r="K18" s="219"/>
      <c r="L18" s="219"/>
      <c r="M18" s="219"/>
      <c r="N18" s="219"/>
      <c r="O18" s="49"/>
      <c r="P18" s="49"/>
      <c r="Q18" s="49"/>
      <c r="R18" s="49"/>
      <c r="S18" s="49"/>
      <c r="T18" s="50"/>
      <c r="U18" s="50"/>
      <c r="V18" s="50"/>
      <c r="W18" s="50"/>
      <c r="X18" s="50"/>
      <c r="Y18" s="50"/>
      <c r="Z18" s="50"/>
      <c r="AA18" s="50"/>
      <c r="AB18" s="50"/>
      <c r="AC18" s="50"/>
      <c r="AD18" s="50"/>
      <c r="AE18" s="50"/>
    </row>
    <row r="19" spans="2:31" ht="28.15" customHeight="1" x14ac:dyDescent="0.25">
      <c r="B19" s="335" t="s">
        <v>3</v>
      </c>
      <c r="C19" s="348"/>
      <c r="D19" s="350" t="s">
        <v>61</v>
      </c>
      <c r="E19" s="350"/>
      <c r="F19" s="350"/>
      <c r="G19" s="350"/>
      <c r="H19" s="350" t="s">
        <v>133</v>
      </c>
      <c r="I19" s="350"/>
      <c r="J19" s="350"/>
      <c r="K19" s="350"/>
      <c r="L19" s="351" t="s">
        <v>134</v>
      </c>
      <c r="M19" s="351"/>
      <c r="N19" s="351"/>
      <c r="O19" s="77"/>
      <c r="P19" s="52"/>
      <c r="Q19" s="52"/>
      <c r="R19" s="52"/>
      <c r="S19" s="52"/>
      <c r="T19" s="53"/>
      <c r="U19" s="52"/>
      <c r="V19" s="52"/>
      <c r="W19" s="52"/>
      <c r="X19" s="52"/>
      <c r="Y19" s="52"/>
      <c r="Z19" s="52"/>
      <c r="AA19" s="52"/>
      <c r="AB19" s="52"/>
      <c r="AC19" s="52"/>
      <c r="AD19" s="52"/>
      <c r="AE19" s="52"/>
    </row>
    <row r="20" spans="2:31" ht="14.45" customHeight="1" x14ac:dyDescent="0.25">
      <c r="B20" s="335"/>
      <c r="C20" s="348"/>
      <c r="D20" s="218" t="s">
        <v>62</v>
      </c>
      <c r="E20" s="218" t="s">
        <v>4</v>
      </c>
      <c r="F20" s="218" t="s">
        <v>63</v>
      </c>
      <c r="G20" s="218" t="s">
        <v>64</v>
      </c>
      <c r="H20" s="218" t="s">
        <v>62</v>
      </c>
      <c r="I20" s="218" t="s">
        <v>4</v>
      </c>
      <c r="J20" s="218" t="s">
        <v>63</v>
      </c>
      <c r="K20" s="218" t="s">
        <v>64</v>
      </c>
      <c r="L20" s="218" t="s">
        <v>62</v>
      </c>
      <c r="M20" s="218" t="s">
        <v>4</v>
      </c>
      <c r="N20" s="218" t="s">
        <v>65</v>
      </c>
      <c r="O20" s="61"/>
      <c r="P20" s="54"/>
      <c r="Q20" s="54"/>
      <c r="R20" s="54"/>
      <c r="S20" s="54"/>
      <c r="T20" s="54"/>
      <c r="U20" s="54"/>
      <c r="V20" s="54"/>
      <c r="W20" s="54"/>
      <c r="X20" s="54"/>
      <c r="Y20" s="54"/>
      <c r="Z20" s="54"/>
      <c r="AA20" s="54"/>
      <c r="AB20" s="54"/>
      <c r="AC20" s="54"/>
      <c r="AD20" s="54"/>
      <c r="AE20" s="54"/>
    </row>
    <row r="21" spans="2:31" x14ac:dyDescent="0.25">
      <c r="B21" s="240">
        <v>2023</v>
      </c>
      <c r="C21" s="190"/>
      <c r="D21" s="241">
        <v>1.1000000000000001</v>
      </c>
      <c r="E21" s="241">
        <v>1.25</v>
      </c>
      <c r="F21" s="241">
        <v>1.5</v>
      </c>
      <c r="G21" s="241">
        <v>1.5</v>
      </c>
      <c r="H21" s="241">
        <v>1.1000000000000001</v>
      </c>
      <c r="I21" s="241">
        <v>1.25</v>
      </c>
      <c r="J21" s="241">
        <v>1.5</v>
      </c>
      <c r="K21" s="241">
        <v>1.5</v>
      </c>
      <c r="L21" s="241">
        <v>1.25</v>
      </c>
      <c r="M21" s="241">
        <v>1.5</v>
      </c>
      <c r="N21" s="241">
        <v>3</v>
      </c>
      <c r="O21" s="78"/>
      <c r="P21" s="51"/>
      <c r="Q21" s="51"/>
      <c r="R21" s="51"/>
      <c r="S21" s="51"/>
      <c r="T21" s="47"/>
      <c r="U21" s="47"/>
      <c r="V21" s="47"/>
      <c r="W21" s="47"/>
      <c r="X21" s="47"/>
      <c r="Y21" s="47"/>
      <c r="Z21" s="47"/>
      <c r="AA21" s="47"/>
      <c r="AB21" s="47"/>
      <c r="AC21" s="47"/>
      <c r="AD21" s="47"/>
      <c r="AE21" s="47"/>
    </row>
    <row r="22" spans="2:31" x14ac:dyDescent="0.25">
      <c r="B22" s="240">
        <v>2024</v>
      </c>
      <c r="C22" s="190"/>
      <c r="D22" s="242">
        <v>1.1000000000000001</v>
      </c>
      <c r="E22" s="242">
        <v>1.25</v>
      </c>
      <c r="F22" s="242">
        <v>1.5</v>
      </c>
      <c r="G22" s="242">
        <v>1.7</v>
      </c>
      <c r="H22" s="242">
        <v>1.1000000000000001</v>
      </c>
      <c r="I22" s="242">
        <v>1.25</v>
      </c>
      <c r="J22" s="242">
        <v>1.5</v>
      </c>
      <c r="K22" s="242">
        <v>1.7</v>
      </c>
      <c r="L22" s="242">
        <v>1.25</v>
      </c>
      <c r="M22" s="242">
        <v>1.5</v>
      </c>
      <c r="N22" s="242">
        <v>3</v>
      </c>
      <c r="O22" s="78"/>
      <c r="P22" s="51"/>
      <c r="Q22" s="51"/>
      <c r="R22" s="51"/>
      <c r="S22" s="51"/>
      <c r="T22" s="47"/>
      <c r="U22" s="47"/>
      <c r="V22" s="47"/>
      <c r="W22" s="47"/>
      <c r="X22" s="47"/>
      <c r="Y22" s="47"/>
      <c r="Z22" s="47"/>
      <c r="AA22" s="47"/>
      <c r="AB22" s="47"/>
      <c r="AC22" s="47"/>
      <c r="AD22" s="47"/>
      <c r="AE22" s="47"/>
    </row>
    <row r="23" spans="2:31" s="115" customFormat="1" x14ac:dyDescent="0.25">
      <c r="B23" s="240">
        <v>2025</v>
      </c>
      <c r="C23" s="190"/>
      <c r="D23" s="241">
        <v>1.1000000000000001</v>
      </c>
      <c r="E23" s="241">
        <v>1.25</v>
      </c>
      <c r="F23" s="241">
        <v>1.5</v>
      </c>
      <c r="G23" s="241">
        <v>1.7</v>
      </c>
      <c r="H23" s="241">
        <v>1.1000000000000001</v>
      </c>
      <c r="I23" s="241">
        <v>1.25</v>
      </c>
      <c r="J23" s="241">
        <v>1.5</v>
      </c>
      <c r="K23" s="241">
        <v>1.7</v>
      </c>
      <c r="L23" s="241">
        <v>1.25</v>
      </c>
      <c r="M23" s="241">
        <v>1.5</v>
      </c>
      <c r="N23" s="241">
        <v>3</v>
      </c>
      <c r="O23" s="78"/>
      <c r="P23" s="51"/>
      <c r="Q23" s="51"/>
      <c r="R23" s="51"/>
      <c r="S23" s="51"/>
      <c r="T23" s="47"/>
      <c r="U23" s="47"/>
      <c r="V23" s="47"/>
      <c r="W23" s="47"/>
      <c r="X23" s="47"/>
      <c r="Y23" s="47"/>
      <c r="Z23" s="47"/>
      <c r="AA23" s="47"/>
      <c r="AB23" s="47"/>
      <c r="AC23" s="47"/>
      <c r="AD23" s="47"/>
      <c r="AE23" s="47"/>
    </row>
    <row r="24" spans="2:31" s="115" customFormat="1" x14ac:dyDescent="0.25">
      <c r="B24" s="240">
        <v>2026</v>
      </c>
      <c r="C24" s="190"/>
      <c r="D24" s="241">
        <v>1.1000000000000001</v>
      </c>
      <c r="E24" s="241">
        <v>1.25</v>
      </c>
      <c r="F24" s="241">
        <v>1.5</v>
      </c>
      <c r="G24" s="241">
        <v>1.7</v>
      </c>
      <c r="H24" s="241">
        <v>1.1000000000000001</v>
      </c>
      <c r="I24" s="241">
        <v>1.25</v>
      </c>
      <c r="J24" s="241">
        <v>1.5</v>
      </c>
      <c r="K24" s="241">
        <v>1.7</v>
      </c>
      <c r="L24" s="241">
        <v>1.25</v>
      </c>
      <c r="M24" s="241">
        <v>1.5</v>
      </c>
      <c r="N24" s="241">
        <v>3</v>
      </c>
      <c r="O24" s="78"/>
      <c r="P24" s="51"/>
      <c r="Q24" s="51"/>
      <c r="R24" s="51"/>
      <c r="S24" s="51"/>
      <c r="T24" s="47"/>
      <c r="U24" s="47"/>
      <c r="V24" s="47"/>
      <c r="W24" s="47"/>
      <c r="X24" s="47"/>
      <c r="Y24" s="47"/>
      <c r="Z24" s="47"/>
      <c r="AA24" s="47"/>
      <c r="AB24" s="47"/>
      <c r="AC24" s="47"/>
      <c r="AD24" s="47"/>
      <c r="AE24" s="47"/>
    </row>
    <row r="25" spans="2:31" s="115" customFormat="1" x14ac:dyDescent="0.25">
      <c r="B25" s="240">
        <v>2027</v>
      </c>
      <c r="C25" s="190"/>
      <c r="D25" s="241">
        <v>1.1000000000000001</v>
      </c>
      <c r="E25" s="241">
        <v>1.25</v>
      </c>
      <c r="F25" s="241">
        <v>1.5</v>
      </c>
      <c r="G25" s="241">
        <v>1.7</v>
      </c>
      <c r="H25" s="241">
        <v>1.1000000000000001</v>
      </c>
      <c r="I25" s="241">
        <v>1.25</v>
      </c>
      <c r="J25" s="241">
        <v>1.5</v>
      </c>
      <c r="K25" s="241">
        <v>1.7</v>
      </c>
      <c r="L25" s="241">
        <v>1.25</v>
      </c>
      <c r="M25" s="241">
        <v>1.5</v>
      </c>
      <c r="N25" s="241">
        <v>3</v>
      </c>
      <c r="O25" s="78"/>
      <c r="P25" s="51"/>
      <c r="Q25" s="51"/>
      <c r="R25" s="51"/>
      <c r="S25" s="51"/>
      <c r="T25" s="47"/>
      <c r="U25" s="47"/>
      <c r="V25" s="47"/>
      <c r="W25" s="47"/>
      <c r="X25" s="47"/>
      <c r="Y25" s="47"/>
      <c r="Z25" s="47"/>
      <c r="AA25" s="47"/>
      <c r="AB25" s="47"/>
      <c r="AC25" s="47"/>
      <c r="AD25" s="47"/>
      <c r="AE25" s="47"/>
    </row>
    <row r="26" spans="2:31" s="115" customFormat="1" x14ac:dyDescent="0.25">
      <c r="B26" s="240">
        <v>2028</v>
      </c>
      <c r="C26" s="190"/>
      <c r="D26" s="241">
        <v>1.1000000000000001</v>
      </c>
      <c r="E26" s="241">
        <v>1.25</v>
      </c>
      <c r="F26" s="241">
        <v>1.5</v>
      </c>
      <c r="G26" s="241">
        <v>1.7</v>
      </c>
      <c r="H26" s="241">
        <v>1.1000000000000001</v>
      </c>
      <c r="I26" s="241">
        <v>1.25</v>
      </c>
      <c r="J26" s="241">
        <v>1.5</v>
      </c>
      <c r="K26" s="241">
        <v>1.7</v>
      </c>
      <c r="L26" s="241">
        <v>1.25</v>
      </c>
      <c r="M26" s="241">
        <v>1.5</v>
      </c>
      <c r="N26" s="241">
        <v>3</v>
      </c>
      <c r="O26" s="78"/>
      <c r="P26" s="51"/>
      <c r="Q26" s="51"/>
      <c r="R26" s="51"/>
      <c r="S26" s="51"/>
      <c r="T26" s="47"/>
      <c r="U26" s="47"/>
      <c r="V26" s="47"/>
      <c r="W26" s="47"/>
      <c r="X26" s="47"/>
      <c r="Y26" s="47"/>
      <c r="Z26" s="47"/>
      <c r="AA26" s="47"/>
      <c r="AB26" s="47"/>
      <c r="AC26" s="47"/>
      <c r="AD26" s="47"/>
      <c r="AE26" s="47"/>
    </row>
    <row r="27" spans="2:31" ht="15.75" customHeight="1" x14ac:dyDescent="0.25"/>
    <row r="28" spans="2:31" x14ac:dyDescent="0.25">
      <c r="B28" s="220" t="s">
        <v>66</v>
      </c>
      <c r="C28" s="219"/>
      <c r="D28" s="221"/>
      <c r="E28" s="222"/>
      <c r="F28" s="221"/>
      <c r="G28" s="222"/>
      <c r="H28" s="221"/>
      <c r="I28" s="221"/>
      <c r="J28" s="221"/>
      <c r="K28" s="222"/>
      <c r="L28" s="222"/>
      <c r="M28" s="221"/>
      <c r="N28" s="221"/>
      <c r="O28" s="221"/>
      <c r="P28" s="222"/>
      <c r="Q28" s="222"/>
      <c r="R28" s="222"/>
      <c r="S28" s="222"/>
      <c r="T28" s="222"/>
      <c r="U28" s="222"/>
      <c r="V28" s="222"/>
      <c r="W28" s="222"/>
      <c r="X28" s="222"/>
      <c r="Y28" s="222"/>
      <c r="Z28" s="222"/>
      <c r="AA28" s="222"/>
      <c r="AB28" s="222"/>
      <c r="AC28" s="222"/>
      <c r="AD28" s="222"/>
      <c r="AE28" s="222"/>
    </row>
    <row r="29" spans="2:31" x14ac:dyDescent="0.25">
      <c r="B29" s="220" t="s">
        <v>67</v>
      </c>
      <c r="C29" s="219"/>
      <c r="D29" s="223"/>
      <c r="E29" s="223"/>
      <c r="F29" s="223"/>
      <c r="G29" s="223"/>
      <c r="H29" s="224"/>
      <c r="I29" s="223"/>
      <c r="J29" s="223"/>
      <c r="K29" s="223"/>
      <c r="L29" s="223"/>
      <c r="M29" s="223"/>
      <c r="N29" s="223"/>
      <c r="O29" s="223"/>
      <c r="P29" s="223"/>
      <c r="Q29" s="223"/>
      <c r="R29" s="223"/>
      <c r="S29" s="223"/>
      <c r="T29" s="225"/>
      <c r="U29" s="225"/>
      <c r="V29" s="225"/>
      <c r="W29" s="225"/>
      <c r="X29" s="225"/>
      <c r="Y29" s="225"/>
      <c r="Z29" s="225"/>
      <c r="AA29" s="225"/>
      <c r="AB29" s="225"/>
      <c r="AC29" s="225"/>
      <c r="AD29" s="225"/>
      <c r="AE29" s="225"/>
    </row>
    <row r="30" spans="2:31" ht="14.45" customHeight="1" x14ac:dyDescent="0.25">
      <c r="B30" s="335" t="s">
        <v>56</v>
      </c>
      <c r="C30" s="348"/>
      <c r="D30" s="336" t="s">
        <v>69</v>
      </c>
      <c r="E30" s="336"/>
      <c r="F30" s="336"/>
      <c r="G30" s="336"/>
      <c r="H30" s="336" t="s">
        <v>70</v>
      </c>
      <c r="I30" s="336"/>
      <c r="J30" s="336"/>
      <c r="K30" s="336"/>
      <c r="L30" s="336"/>
      <c r="M30" s="336"/>
      <c r="N30" s="336"/>
      <c r="O30" s="336"/>
      <c r="P30" s="336"/>
      <c r="Q30" s="336"/>
      <c r="R30" s="336"/>
      <c r="S30" s="336"/>
      <c r="T30" s="336" t="s">
        <v>71</v>
      </c>
      <c r="U30" s="336"/>
      <c r="V30" s="336"/>
      <c r="W30" s="336"/>
      <c r="X30" s="336"/>
      <c r="Y30" s="336"/>
      <c r="Z30" s="336"/>
      <c r="AA30" s="336"/>
      <c r="AB30" s="336"/>
      <c r="AC30" s="336"/>
      <c r="AD30" s="336"/>
      <c r="AE30" s="336"/>
    </row>
    <row r="31" spans="2:31" x14ac:dyDescent="0.25">
      <c r="B31" s="335"/>
      <c r="C31" s="348"/>
      <c r="D31" s="218" t="s">
        <v>46</v>
      </c>
      <c r="E31" s="218" t="s">
        <v>47</v>
      </c>
      <c r="F31" s="218" t="s">
        <v>48</v>
      </c>
      <c r="G31" s="218" t="s">
        <v>49</v>
      </c>
      <c r="H31" s="218" t="s">
        <v>13</v>
      </c>
      <c r="I31" s="218" t="s">
        <v>14</v>
      </c>
      <c r="J31" s="218" t="s">
        <v>15</v>
      </c>
      <c r="K31" s="218" t="s">
        <v>16</v>
      </c>
      <c r="L31" s="218" t="s">
        <v>17</v>
      </c>
      <c r="M31" s="218" t="s">
        <v>18</v>
      </c>
      <c r="N31" s="218" t="s">
        <v>19</v>
      </c>
      <c r="O31" s="218" t="s">
        <v>20</v>
      </c>
      <c r="P31" s="218" t="s">
        <v>21</v>
      </c>
      <c r="Q31" s="218" t="s">
        <v>22</v>
      </c>
      <c r="R31" s="218" t="s">
        <v>23</v>
      </c>
      <c r="S31" s="218" t="s">
        <v>24</v>
      </c>
      <c r="T31" s="218" t="s">
        <v>13</v>
      </c>
      <c r="U31" s="218" t="s">
        <v>14</v>
      </c>
      <c r="V31" s="218" t="s">
        <v>15</v>
      </c>
      <c r="W31" s="218" t="s">
        <v>16</v>
      </c>
      <c r="X31" s="218" t="s">
        <v>17</v>
      </c>
      <c r="Y31" s="218" t="s">
        <v>18</v>
      </c>
      <c r="Z31" s="218" t="s">
        <v>19</v>
      </c>
      <c r="AA31" s="218" t="s">
        <v>20</v>
      </c>
      <c r="AB31" s="218" t="s">
        <v>21</v>
      </c>
      <c r="AC31" s="218" t="s">
        <v>22</v>
      </c>
      <c r="AD31" s="218" t="s">
        <v>23</v>
      </c>
      <c r="AE31" s="218" t="s">
        <v>24</v>
      </c>
    </row>
    <row r="32" spans="2:31" x14ac:dyDescent="0.25">
      <c r="B32" s="240">
        <v>2023</v>
      </c>
      <c r="C32" s="190"/>
      <c r="D32" s="241">
        <v>1.53</v>
      </c>
      <c r="E32" s="241">
        <v>0.64</v>
      </c>
      <c r="F32" s="241">
        <v>0.49</v>
      </c>
      <c r="G32" s="241">
        <v>1.34</v>
      </c>
      <c r="H32" s="241">
        <v>1.82</v>
      </c>
      <c r="I32" s="241">
        <v>1.37</v>
      </c>
      <c r="J32" s="241">
        <v>1.41</v>
      </c>
      <c r="K32" s="241">
        <v>0.81</v>
      </c>
      <c r="L32" s="241">
        <v>0.61</v>
      </c>
      <c r="M32" s="241">
        <v>0.49</v>
      </c>
      <c r="N32" s="241">
        <v>0.39</v>
      </c>
      <c r="O32" s="241">
        <v>0.46</v>
      </c>
      <c r="P32" s="241">
        <v>0.62</v>
      </c>
      <c r="Q32" s="241">
        <v>1.07</v>
      </c>
      <c r="R32" s="241">
        <v>1.35</v>
      </c>
      <c r="S32" s="241">
        <v>1.6</v>
      </c>
      <c r="T32" s="241">
        <v>1.82</v>
      </c>
      <c r="U32" s="241">
        <v>1.37</v>
      </c>
      <c r="V32" s="241">
        <v>1.41</v>
      </c>
      <c r="W32" s="241">
        <v>0.81</v>
      </c>
      <c r="X32" s="241">
        <v>0.61</v>
      </c>
      <c r="Y32" s="241">
        <v>0.49</v>
      </c>
      <c r="Z32" s="241">
        <v>0.39</v>
      </c>
      <c r="AA32" s="241">
        <v>0.46</v>
      </c>
      <c r="AB32" s="241">
        <v>0.62</v>
      </c>
      <c r="AC32" s="241">
        <v>1.07</v>
      </c>
      <c r="AD32" s="241">
        <v>1.35</v>
      </c>
      <c r="AE32" s="241">
        <v>1.6</v>
      </c>
    </row>
    <row r="33" spans="2:57" x14ac:dyDescent="0.25">
      <c r="B33" s="240">
        <v>2024</v>
      </c>
      <c r="C33" s="190"/>
      <c r="D33" s="244">
        <f>+'SK skaičiavimas_Vieningi'!C56</f>
        <v>1.5</v>
      </c>
      <c r="E33" s="244">
        <f>+'SK skaičiavimas_Vieningi'!D56</f>
        <v>0.7</v>
      </c>
      <c r="F33" s="244">
        <f>+'SK skaičiavimas_Vieningi'!E56</f>
        <v>0.49</v>
      </c>
      <c r="G33" s="244">
        <f>+'SK skaičiavimas_Vieningi'!F56</f>
        <v>1.31</v>
      </c>
      <c r="H33" s="244">
        <f>+'SK skaičiavimas_Vieningi'!C53</f>
        <v>1.73</v>
      </c>
      <c r="I33" s="244">
        <f>+'SK skaičiavimas_Vieningi'!D53</f>
        <v>1.36</v>
      </c>
      <c r="J33" s="244">
        <f>+'SK skaičiavimas_Vieningi'!E53</f>
        <v>1.39</v>
      </c>
      <c r="K33" s="244">
        <f>+'SK skaičiavimas_Vieningi'!F53</f>
        <v>0.89</v>
      </c>
      <c r="L33" s="244">
        <f>+'SK skaičiavimas_Vieningi'!G53</f>
        <v>0.7</v>
      </c>
      <c r="M33" s="244">
        <f>+'SK skaičiavimas_Vieningi'!H53</f>
        <v>0.53</v>
      </c>
      <c r="N33" s="244">
        <f>+'SK skaičiavimas_Vieningi'!I53</f>
        <v>0.43</v>
      </c>
      <c r="O33" s="244">
        <f>+'SK skaičiavimas_Vieningi'!J53</f>
        <v>0.48</v>
      </c>
      <c r="P33" s="244">
        <f>+'SK skaičiavimas_Vieningi'!K53</f>
        <v>0.56000000000000005</v>
      </c>
      <c r="Q33" s="244">
        <f>+'SK skaičiavimas_Vieningi'!L53</f>
        <v>0.98</v>
      </c>
      <c r="R33" s="244">
        <f>+'SK skaičiavimas_Vieningi'!M53</f>
        <v>1.28</v>
      </c>
      <c r="S33" s="244">
        <f>+'SK skaičiavimas_Vieningi'!N53</f>
        <v>1.66</v>
      </c>
      <c r="T33" s="244">
        <f>+'SK skaičiavimas_Vieningi'!C54</f>
        <v>1.73</v>
      </c>
      <c r="U33" s="244">
        <f>+'SK skaičiavimas_Vieningi'!D54</f>
        <v>1.36</v>
      </c>
      <c r="V33" s="244">
        <f>+'SK skaičiavimas_Vieningi'!E54</f>
        <v>1.39</v>
      </c>
      <c r="W33" s="244">
        <f>+'SK skaičiavimas_Vieningi'!F54</f>
        <v>0.89</v>
      </c>
      <c r="X33" s="244">
        <f>+'SK skaičiavimas_Vieningi'!G54</f>
        <v>0.7</v>
      </c>
      <c r="Y33" s="244">
        <f>+'SK skaičiavimas_Vieningi'!H54</f>
        <v>0.53</v>
      </c>
      <c r="Z33" s="244">
        <f>+'SK skaičiavimas_Vieningi'!I54</f>
        <v>0.43</v>
      </c>
      <c r="AA33" s="244">
        <f>+'SK skaičiavimas_Vieningi'!J54</f>
        <v>0.48</v>
      </c>
      <c r="AB33" s="244">
        <f>+'SK skaičiavimas_Vieningi'!K54</f>
        <v>0.56000000000000005</v>
      </c>
      <c r="AC33" s="244">
        <f>+'SK skaičiavimas_Vieningi'!L54</f>
        <v>0.98</v>
      </c>
      <c r="AD33" s="244">
        <f>+'SK skaičiavimas_Vieningi'!M54</f>
        <v>1.28</v>
      </c>
      <c r="AE33" s="244">
        <f>+'SK skaičiavimas_Vieningi'!N54</f>
        <v>1.66</v>
      </c>
      <c r="AN33" s="255"/>
    </row>
    <row r="34" spans="2:57" s="115" customFormat="1" x14ac:dyDescent="0.25">
      <c r="B34" s="240">
        <v>2025</v>
      </c>
      <c r="C34" s="190"/>
      <c r="D34" s="241">
        <f t="shared" ref="D34:M37" si="0">D33</f>
        <v>1.5</v>
      </c>
      <c r="E34" s="241">
        <f t="shared" si="0"/>
        <v>0.7</v>
      </c>
      <c r="F34" s="241">
        <f t="shared" si="0"/>
        <v>0.49</v>
      </c>
      <c r="G34" s="241">
        <f t="shared" si="0"/>
        <v>1.31</v>
      </c>
      <c r="H34" s="241">
        <f t="shared" si="0"/>
        <v>1.73</v>
      </c>
      <c r="I34" s="241">
        <f t="shared" si="0"/>
        <v>1.36</v>
      </c>
      <c r="J34" s="241">
        <f t="shared" si="0"/>
        <v>1.39</v>
      </c>
      <c r="K34" s="241">
        <f t="shared" si="0"/>
        <v>0.89</v>
      </c>
      <c r="L34" s="241">
        <f t="shared" si="0"/>
        <v>0.7</v>
      </c>
      <c r="M34" s="241">
        <f t="shared" si="0"/>
        <v>0.53</v>
      </c>
      <c r="N34" s="241">
        <f t="shared" ref="N34:W37" si="1">N33</f>
        <v>0.43</v>
      </c>
      <c r="O34" s="241">
        <f t="shared" si="1"/>
        <v>0.48</v>
      </c>
      <c r="P34" s="241">
        <f t="shared" si="1"/>
        <v>0.56000000000000005</v>
      </c>
      <c r="Q34" s="241">
        <f t="shared" si="1"/>
        <v>0.98</v>
      </c>
      <c r="R34" s="241">
        <f t="shared" si="1"/>
        <v>1.28</v>
      </c>
      <c r="S34" s="241">
        <f t="shared" si="1"/>
        <v>1.66</v>
      </c>
      <c r="T34" s="241">
        <f t="shared" si="1"/>
        <v>1.73</v>
      </c>
      <c r="U34" s="241">
        <f t="shared" si="1"/>
        <v>1.36</v>
      </c>
      <c r="V34" s="241">
        <f t="shared" si="1"/>
        <v>1.39</v>
      </c>
      <c r="W34" s="241">
        <f t="shared" si="1"/>
        <v>0.89</v>
      </c>
      <c r="X34" s="241">
        <f t="shared" ref="X34:AE37" si="2">X33</f>
        <v>0.7</v>
      </c>
      <c r="Y34" s="241">
        <f t="shared" si="2"/>
        <v>0.53</v>
      </c>
      <c r="Z34" s="241">
        <f t="shared" si="2"/>
        <v>0.43</v>
      </c>
      <c r="AA34" s="241">
        <f t="shared" si="2"/>
        <v>0.48</v>
      </c>
      <c r="AB34" s="241">
        <f t="shared" si="2"/>
        <v>0.56000000000000005</v>
      </c>
      <c r="AC34" s="241">
        <f t="shared" si="2"/>
        <v>0.98</v>
      </c>
      <c r="AD34" s="241">
        <f t="shared" si="2"/>
        <v>1.28</v>
      </c>
      <c r="AE34" s="241">
        <f t="shared" si="2"/>
        <v>1.66</v>
      </c>
      <c r="AN34" s="255"/>
    </row>
    <row r="35" spans="2:57" s="115" customFormat="1" x14ac:dyDescent="0.25">
      <c r="B35" s="240">
        <v>2026</v>
      </c>
      <c r="C35" s="190"/>
      <c r="D35" s="241">
        <f t="shared" si="0"/>
        <v>1.5</v>
      </c>
      <c r="E35" s="241">
        <f t="shared" si="0"/>
        <v>0.7</v>
      </c>
      <c r="F35" s="241">
        <f t="shared" si="0"/>
        <v>0.49</v>
      </c>
      <c r="G35" s="241">
        <f t="shared" si="0"/>
        <v>1.31</v>
      </c>
      <c r="H35" s="241">
        <f t="shared" si="0"/>
        <v>1.73</v>
      </c>
      <c r="I35" s="241">
        <f t="shared" si="0"/>
        <v>1.36</v>
      </c>
      <c r="J35" s="241">
        <f t="shared" si="0"/>
        <v>1.39</v>
      </c>
      <c r="K35" s="241">
        <f t="shared" si="0"/>
        <v>0.89</v>
      </c>
      <c r="L35" s="241">
        <f t="shared" si="0"/>
        <v>0.7</v>
      </c>
      <c r="M35" s="241">
        <f t="shared" si="0"/>
        <v>0.53</v>
      </c>
      <c r="N35" s="241">
        <f t="shared" si="1"/>
        <v>0.43</v>
      </c>
      <c r="O35" s="241">
        <f t="shared" si="1"/>
        <v>0.48</v>
      </c>
      <c r="P35" s="241">
        <f t="shared" si="1"/>
        <v>0.56000000000000005</v>
      </c>
      <c r="Q35" s="241">
        <f t="shared" si="1"/>
        <v>0.98</v>
      </c>
      <c r="R35" s="241">
        <f t="shared" si="1"/>
        <v>1.28</v>
      </c>
      <c r="S35" s="241">
        <f t="shared" si="1"/>
        <v>1.66</v>
      </c>
      <c r="T35" s="241">
        <f t="shared" si="1"/>
        <v>1.73</v>
      </c>
      <c r="U35" s="241">
        <f t="shared" si="1"/>
        <v>1.36</v>
      </c>
      <c r="V35" s="241">
        <f t="shared" si="1"/>
        <v>1.39</v>
      </c>
      <c r="W35" s="241">
        <f t="shared" si="1"/>
        <v>0.89</v>
      </c>
      <c r="X35" s="241">
        <f t="shared" si="2"/>
        <v>0.7</v>
      </c>
      <c r="Y35" s="241">
        <f t="shared" si="2"/>
        <v>0.53</v>
      </c>
      <c r="Z35" s="241">
        <f t="shared" si="2"/>
        <v>0.43</v>
      </c>
      <c r="AA35" s="241">
        <f t="shared" si="2"/>
        <v>0.48</v>
      </c>
      <c r="AB35" s="241">
        <f t="shared" si="2"/>
        <v>0.56000000000000005</v>
      </c>
      <c r="AC35" s="241">
        <f t="shared" si="2"/>
        <v>0.98</v>
      </c>
      <c r="AD35" s="241">
        <f t="shared" si="2"/>
        <v>1.28</v>
      </c>
      <c r="AE35" s="241">
        <f t="shared" si="2"/>
        <v>1.66</v>
      </c>
      <c r="AN35" s="255"/>
    </row>
    <row r="36" spans="2:57" s="115" customFormat="1" x14ac:dyDescent="0.25">
      <c r="B36" s="240">
        <v>2027</v>
      </c>
      <c r="C36" s="190"/>
      <c r="D36" s="241">
        <f t="shared" si="0"/>
        <v>1.5</v>
      </c>
      <c r="E36" s="241">
        <f t="shared" si="0"/>
        <v>0.7</v>
      </c>
      <c r="F36" s="241">
        <f t="shared" si="0"/>
        <v>0.49</v>
      </c>
      <c r="G36" s="241">
        <f t="shared" si="0"/>
        <v>1.31</v>
      </c>
      <c r="H36" s="241">
        <f t="shared" si="0"/>
        <v>1.73</v>
      </c>
      <c r="I36" s="241">
        <f t="shared" si="0"/>
        <v>1.36</v>
      </c>
      <c r="J36" s="241">
        <f t="shared" si="0"/>
        <v>1.39</v>
      </c>
      <c r="K36" s="241">
        <f t="shared" si="0"/>
        <v>0.89</v>
      </c>
      <c r="L36" s="241">
        <f t="shared" si="0"/>
        <v>0.7</v>
      </c>
      <c r="M36" s="241">
        <f t="shared" si="0"/>
        <v>0.53</v>
      </c>
      <c r="N36" s="241">
        <f t="shared" si="1"/>
        <v>0.43</v>
      </c>
      <c r="O36" s="241">
        <f t="shared" si="1"/>
        <v>0.48</v>
      </c>
      <c r="P36" s="241">
        <f t="shared" si="1"/>
        <v>0.56000000000000005</v>
      </c>
      <c r="Q36" s="241">
        <f t="shared" si="1"/>
        <v>0.98</v>
      </c>
      <c r="R36" s="241">
        <f t="shared" si="1"/>
        <v>1.28</v>
      </c>
      <c r="S36" s="241">
        <f t="shared" si="1"/>
        <v>1.66</v>
      </c>
      <c r="T36" s="241">
        <f t="shared" si="1"/>
        <v>1.73</v>
      </c>
      <c r="U36" s="241">
        <f t="shared" si="1"/>
        <v>1.36</v>
      </c>
      <c r="V36" s="241">
        <f t="shared" si="1"/>
        <v>1.39</v>
      </c>
      <c r="W36" s="241">
        <f t="shared" si="1"/>
        <v>0.89</v>
      </c>
      <c r="X36" s="241">
        <f t="shared" si="2"/>
        <v>0.7</v>
      </c>
      <c r="Y36" s="241">
        <f t="shared" si="2"/>
        <v>0.53</v>
      </c>
      <c r="Z36" s="241">
        <f t="shared" si="2"/>
        <v>0.43</v>
      </c>
      <c r="AA36" s="241">
        <f t="shared" si="2"/>
        <v>0.48</v>
      </c>
      <c r="AB36" s="241">
        <f t="shared" si="2"/>
        <v>0.56000000000000005</v>
      </c>
      <c r="AC36" s="241">
        <f t="shared" si="2"/>
        <v>0.98</v>
      </c>
      <c r="AD36" s="241">
        <f t="shared" si="2"/>
        <v>1.28</v>
      </c>
      <c r="AE36" s="241">
        <f t="shared" si="2"/>
        <v>1.66</v>
      </c>
      <c r="AN36" s="255"/>
    </row>
    <row r="37" spans="2:57" s="115" customFormat="1" x14ac:dyDescent="0.25">
      <c r="B37" s="240">
        <v>2028</v>
      </c>
      <c r="C37" s="190"/>
      <c r="D37" s="241">
        <f t="shared" si="0"/>
        <v>1.5</v>
      </c>
      <c r="E37" s="241">
        <f t="shared" si="0"/>
        <v>0.7</v>
      </c>
      <c r="F37" s="241">
        <f t="shared" si="0"/>
        <v>0.49</v>
      </c>
      <c r="G37" s="241">
        <f t="shared" si="0"/>
        <v>1.31</v>
      </c>
      <c r="H37" s="241">
        <f t="shared" si="0"/>
        <v>1.73</v>
      </c>
      <c r="I37" s="241">
        <f t="shared" si="0"/>
        <v>1.36</v>
      </c>
      <c r="J37" s="241">
        <f t="shared" si="0"/>
        <v>1.39</v>
      </c>
      <c r="K37" s="241">
        <f t="shared" si="0"/>
        <v>0.89</v>
      </c>
      <c r="L37" s="241">
        <f t="shared" si="0"/>
        <v>0.7</v>
      </c>
      <c r="M37" s="241">
        <f t="shared" si="0"/>
        <v>0.53</v>
      </c>
      <c r="N37" s="241">
        <f t="shared" si="1"/>
        <v>0.43</v>
      </c>
      <c r="O37" s="241">
        <f t="shared" si="1"/>
        <v>0.48</v>
      </c>
      <c r="P37" s="241">
        <f t="shared" si="1"/>
        <v>0.56000000000000005</v>
      </c>
      <c r="Q37" s="241">
        <f t="shared" si="1"/>
        <v>0.98</v>
      </c>
      <c r="R37" s="241">
        <f t="shared" si="1"/>
        <v>1.28</v>
      </c>
      <c r="S37" s="241">
        <f t="shared" si="1"/>
        <v>1.66</v>
      </c>
      <c r="T37" s="241">
        <f t="shared" si="1"/>
        <v>1.73</v>
      </c>
      <c r="U37" s="241">
        <f t="shared" si="1"/>
        <v>1.36</v>
      </c>
      <c r="V37" s="241">
        <f t="shared" si="1"/>
        <v>1.39</v>
      </c>
      <c r="W37" s="241">
        <f t="shared" si="1"/>
        <v>0.89</v>
      </c>
      <c r="X37" s="241">
        <f t="shared" si="2"/>
        <v>0.7</v>
      </c>
      <c r="Y37" s="241">
        <f t="shared" si="2"/>
        <v>0.53</v>
      </c>
      <c r="Z37" s="241">
        <f t="shared" si="2"/>
        <v>0.43</v>
      </c>
      <c r="AA37" s="241">
        <f t="shared" si="2"/>
        <v>0.48</v>
      </c>
      <c r="AB37" s="241">
        <f t="shared" si="2"/>
        <v>0.56000000000000005</v>
      </c>
      <c r="AC37" s="241">
        <f t="shared" si="2"/>
        <v>0.98</v>
      </c>
      <c r="AD37" s="241">
        <f t="shared" si="2"/>
        <v>1.28</v>
      </c>
      <c r="AE37" s="241">
        <f t="shared" si="2"/>
        <v>1.66</v>
      </c>
      <c r="AN37" s="255"/>
    </row>
    <row r="39" spans="2:57" x14ac:dyDescent="0.25">
      <c r="B39" s="220" t="s">
        <v>68</v>
      </c>
      <c r="C39" s="219"/>
      <c r="D39" s="221"/>
      <c r="E39" s="221"/>
      <c r="F39" s="221"/>
      <c r="G39" s="221"/>
      <c r="H39" s="221"/>
      <c r="I39" s="221"/>
      <c r="J39" s="221"/>
      <c r="K39" s="221"/>
      <c r="L39" s="221"/>
      <c r="M39" s="221"/>
      <c r="N39" s="221"/>
      <c r="O39" s="221"/>
      <c r="P39" s="221"/>
      <c r="Q39" s="221"/>
      <c r="R39" s="221"/>
      <c r="S39" s="221"/>
      <c r="T39" s="221"/>
      <c r="U39" s="221"/>
      <c r="V39" s="221"/>
      <c r="W39" s="221"/>
      <c r="X39" s="221"/>
      <c r="Y39" s="221"/>
      <c r="Z39" s="221"/>
      <c r="AA39" s="221"/>
      <c r="AB39" s="221"/>
      <c r="AC39" s="221"/>
      <c r="AD39" s="221"/>
      <c r="AE39" s="221"/>
    </row>
    <row r="40" spans="2:57" ht="14.45" customHeight="1" x14ac:dyDescent="0.25">
      <c r="B40" s="335" t="s">
        <v>56</v>
      </c>
      <c r="C40" s="348"/>
      <c r="D40" s="336" t="s">
        <v>69</v>
      </c>
      <c r="E40" s="336"/>
      <c r="F40" s="336"/>
      <c r="G40" s="336"/>
      <c r="H40" s="336" t="s">
        <v>70</v>
      </c>
      <c r="I40" s="336"/>
      <c r="J40" s="336"/>
      <c r="K40" s="336"/>
      <c r="L40" s="336"/>
      <c r="M40" s="336"/>
      <c r="N40" s="336"/>
      <c r="O40" s="336"/>
      <c r="P40" s="336"/>
      <c r="Q40" s="336"/>
      <c r="R40" s="336"/>
      <c r="S40" s="336"/>
      <c r="T40" s="336" t="s">
        <v>71</v>
      </c>
      <c r="U40" s="336"/>
      <c r="V40" s="336"/>
      <c r="W40" s="336"/>
      <c r="X40" s="336"/>
      <c r="Y40" s="336"/>
      <c r="Z40" s="336"/>
      <c r="AA40" s="336"/>
      <c r="AB40" s="336"/>
      <c r="AC40" s="336"/>
      <c r="AD40" s="336"/>
      <c r="AE40" s="336"/>
    </row>
    <row r="41" spans="2:57" x14ac:dyDescent="0.25">
      <c r="B41" s="335"/>
      <c r="C41" s="348"/>
      <c r="D41" s="218" t="s">
        <v>46</v>
      </c>
      <c r="E41" s="218" t="s">
        <v>47</v>
      </c>
      <c r="F41" s="218" t="s">
        <v>48</v>
      </c>
      <c r="G41" s="218" t="s">
        <v>49</v>
      </c>
      <c r="H41" s="218" t="s">
        <v>13</v>
      </c>
      <c r="I41" s="218" t="s">
        <v>14</v>
      </c>
      <c r="J41" s="218" t="s">
        <v>15</v>
      </c>
      <c r="K41" s="218" t="s">
        <v>16</v>
      </c>
      <c r="L41" s="218" t="s">
        <v>17</v>
      </c>
      <c r="M41" s="218" t="s">
        <v>18</v>
      </c>
      <c r="N41" s="218" t="s">
        <v>19</v>
      </c>
      <c r="O41" s="218" t="s">
        <v>20</v>
      </c>
      <c r="P41" s="218" t="s">
        <v>21</v>
      </c>
      <c r="Q41" s="218" t="s">
        <v>22</v>
      </c>
      <c r="R41" s="218" t="s">
        <v>23</v>
      </c>
      <c r="S41" s="218" t="s">
        <v>24</v>
      </c>
      <c r="T41" s="218" t="s">
        <v>13</v>
      </c>
      <c r="U41" s="218" t="s">
        <v>14</v>
      </c>
      <c r="V41" s="218" t="s">
        <v>15</v>
      </c>
      <c r="W41" s="218" t="s">
        <v>16</v>
      </c>
      <c r="X41" s="218" t="s">
        <v>17</v>
      </c>
      <c r="Y41" s="218" t="s">
        <v>18</v>
      </c>
      <c r="Z41" s="218" t="s">
        <v>19</v>
      </c>
      <c r="AA41" s="218" t="s">
        <v>20</v>
      </c>
      <c r="AB41" s="218" t="s">
        <v>21</v>
      </c>
      <c r="AC41" s="218" t="s">
        <v>22</v>
      </c>
      <c r="AD41" s="218" t="s">
        <v>23</v>
      </c>
      <c r="AE41" s="218" t="s">
        <v>24</v>
      </c>
    </row>
    <row r="42" spans="2:57" x14ac:dyDescent="0.25">
      <c r="B42" s="240">
        <v>2023</v>
      </c>
      <c r="C42" s="190"/>
      <c r="D42" s="241">
        <v>1.53</v>
      </c>
      <c r="E42" s="241">
        <v>0.64</v>
      </c>
      <c r="F42" s="241">
        <v>0.49</v>
      </c>
      <c r="G42" s="241">
        <v>1.34</v>
      </c>
      <c r="H42" s="241">
        <v>1.82</v>
      </c>
      <c r="I42" s="241">
        <v>1.37</v>
      </c>
      <c r="J42" s="241">
        <v>1.41</v>
      </c>
      <c r="K42" s="241">
        <v>0.81</v>
      </c>
      <c r="L42" s="241">
        <v>0.61</v>
      </c>
      <c r="M42" s="241">
        <v>0.49</v>
      </c>
      <c r="N42" s="241">
        <v>0.39</v>
      </c>
      <c r="O42" s="241">
        <v>0.46</v>
      </c>
      <c r="P42" s="241">
        <v>0.62</v>
      </c>
      <c r="Q42" s="241">
        <v>1.07</v>
      </c>
      <c r="R42" s="241">
        <v>1.35</v>
      </c>
      <c r="S42" s="241">
        <v>1.6</v>
      </c>
      <c r="T42" s="241">
        <v>1.82</v>
      </c>
      <c r="U42" s="241">
        <v>1.37</v>
      </c>
      <c r="V42" s="241">
        <v>1.41</v>
      </c>
      <c r="W42" s="241">
        <v>0.81</v>
      </c>
      <c r="X42" s="241">
        <v>0.61</v>
      </c>
      <c r="Y42" s="241">
        <v>0.49</v>
      </c>
      <c r="Z42" s="241">
        <v>0.39</v>
      </c>
      <c r="AA42" s="241">
        <v>0.46</v>
      </c>
      <c r="AB42" s="241">
        <v>0.62</v>
      </c>
      <c r="AC42" s="241">
        <v>1.07</v>
      </c>
      <c r="AD42" s="241">
        <v>1.35</v>
      </c>
      <c r="AE42" s="241">
        <v>1.6</v>
      </c>
      <c r="AG42" s="93"/>
      <c r="AH42" s="93"/>
      <c r="AI42" s="93"/>
      <c r="AJ42" s="93"/>
      <c r="AK42" s="93"/>
      <c r="AL42" s="93"/>
      <c r="AM42" s="93"/>
      <c r="AN42" s="93"/>
      <c r="AO42" s="93"/>
      <c r="AP42" s="93"/>
      <c r="AQ42" s="93"/>
      <c r="AR42" s="93"/>
      <c r="AS42" s="93"/>
      <c r="AT42" s="93"/>
      <c r="AU42" s="93"/>
      <c r="AV42" s="93"/>
      <c r="AW42" s="93"/>
      <c r="AX42" s="93"/>
      <c r="AY42" s="93"/>
      <c r="AZ42" s="93"/>
      <c r="BA42" s="93"/>
      <c r="BB42" s="93"/>
      <c r="BC42" s="93"/>
      <c r="BD42" s="93"/>
      <c r="BE42" s="93"/>
    </row>
    <row r="43" spans="2:57" x14ac:dyDescent="0.25">
      <c r="B43" s="240">
        <v>2024</v>
      </c>
      <c r="C43" s="190"/>
      <c r="D43" s="244">
        <f>+'SK skaičiavimas_Vieningi'!C56</f>
        <v>1.5</v>
      </c>
      <c r="E43" s="244">
        <f>+'SK skaičiavimas_Vieningi'!D56</f>
        <v>0.7</v>
      </c>
      <c r="F43" s="244">
        <f>+'SK skaičiavimas_Vieningi'!E56</f>
        <v>0.49</v>
      </c>
      <c r="G43" s="244">
        <f>+'SK skaičiavimas_Vieningi'!F56</f>
        <v>1.31</v>
      </c>
      <c r="H43" s="244">
        <f>+'SK skaičiavimas_Vieningi'!C53</f>
        <v>1.73</v>
      </c>
      <c r="I43" s="244">
        <f>+'SK skaičiavimas_Vieningi'!D53</f>
        <v>1.36</v>
      </c>
      <c r="J43" s="244">
        <f>+'SK skaičiavimas_Vieningi'!E53</f>
        <v>1.39</v>
      </c>
      <c r="K43" s="244">
        <f>+'SK skaičiavimas_Vieningi'!F53</f>
        <v>0.89</v>
      </c>
      <c r="L43" s="244">
        <f>+'SK skaičiavimas_Vieningi'!G53</f>
        <v>0.7</v>
      </c>
      <c r="M43" s="244">
        <f>+'SK skaičiavimas_Vieningi'!H53</f>
        <v>0.53</v>
      </c>
      <c r="N43" s="244">
        <f>+'SK skaičiavimas_Vieningi'!I53</f>
        <v>0.43</v>
      </c>
      <c r="O43" s="244">
        <f>+'SK skaičiavimas_Vieningi'!J53</f>
        <v>0.48</v>
      </c>
      <c r="P43" s="244">
        <f>+'SK skaičiavimas_Vieningi'!K53</f>
        <v>0.56000000000000005</v>
      </c>
      <c r="Q43" s="244">
        <f>+'SK skaičiavimas_Vieningi'!L53</f>
        <v>0.98</v>
      </c>
      <c r="R43" s="244">
        <f>+'SK skaičiavimas_Vieningi'!M53</f>
        <v>1.28</v>
      </c>
      <c r="S43" s="244">
        <f>+'SK skaičiavimas_Vieningi'!N53</f>
        <v>1.66</v>
      </c>
      <c r="T43" s="244">
        <f>+'SK skaičiavimas_Vieningi'!C54</f>
        <v>1.73</v>
      </c>
      <c r="U43" s="244">
        <f>+'SK skaičiavimas_Vieningi'!D54</f>
        <v>1.36</v>
      </c>
      <c r="V43" s="244">
        <f>+'SK skaičiavimas_Vieningi'!E54</f>
        <v>1.39</v>
      </c>
      <c r="W43" s="244">
        <f>+'SK skaičiavimas_Vieningi'!F54</f>
        <v>0.89</v>
      </c>
      <c r="X43" s="244">
        <f>+'SK skaičiavimas_Vieningi'!G54</f>
        <v>0.7</v>
      </c>
      <c r="Y43" s="244">
        <f>+'SK skaičiavimas_Vieningi'!H54</f>
        <v>0.53</v>
      </c>
      <c r="Z43" s="244">
        <f>+'SK skaičiavimas_Vieningi'!I54</f>
        <v>0.43</v>
      </c>
      <c r="AA43" s="244">
        <f>+'SK skaičiavimas_Vieningi'!J54</f>
        <v>0.48</v>
      </c>
      <c r="AB43" s="244">
        <f>+'SK skaičiavimas_Vieningi'!K54</f>
        <v>0.56000000000000005</v>
      </c>
      <c r="AC43" s="244">
        <f>+'SK skaičiavimas_Vieningi'!L54</f>
        <v>0.98</v>
      </c>
      <c r="AD43" s="244">
        <f>+'SK skaičiavimas_Vieningi'!M54</f>
        <v>1.28</v>
      </c>
      <c r="AE43" s="244">
        <f>+'SK skaičiavimas_Vieningi'!N54</f>
        <v>1.66</v>
      </c>
      <c r="AG43" s="93"/>
      <c r="AH43" s="93"/>
      <c r="AI43" s="93"/>
      <c r="AJ43" s="93"/>
      <c r="AK43" s="93"/>
      <c r="AL43" s="93"/>
      <c r="AM43" s="93"/>
      <c r="AN43" s="93"/>
      <c r="AO43" s="93"/>
      <c r="AP43" s="93"/>
      <c r="AQ43" s="93"/>
      <c r="AR43" s="93"/>
      <c r="AS43" s="93"/>
      <c r="AT43" s="93"/>
      <c r="AU43" s="93"/>
      <c r="AV43" s="93"/>
      <c r="AW43" s="93"/>
      <c r="AX43" s="93"/>
      <c r="AY43" s="93"/>
      <c r="AZ43" s="93"/>
      <c r="BA43" s="93"/>
      <c r="BB43" s="93"/>
      <c r="BC43" s="93"/>
      <c r="BD43" s="93"/>
      <c r="BE43" s="93"/>
    </row>
    <row r="44" spans="2:57" s="115" customFormat="1" x14ac:dyDescent="0.25">
      <c r="B44" s="240">
        <v>2025</v>
      </c>
      <c r="C44" s="190"/>
      <c r="D44" s="241">
        <f t="shared" ref="D44:M47" si="3">D43</f>
        <v>1.5</v>
      </c>
      <c r="E44" s="241">
        <f t="shared" si="3"/>
        <v>0.7</v>
      </c>
      <c r="F44" s="241">
        <f t="shared" si="3"/>
        <v>0.49</v>
      </c>
      <c r="G44" s="241">
        <f t="shared" si="3"/>
        <v>1.31</v>
      </c>
      <c r="H44" s="241">
        <f t="shared" si="3"/>
        <v>1.73</v>
      </c>
      <c r="I44" s="241">
        <f t="shared" si="3"/>
        <v>1.36</v>
      </c>
      <c r="J44" s="241">
        <f t="shared" si="3"/>
        <v>1.39</v>
      </c>
      <c r="K44" s="241">
        <f t="shared" si="3"/>
        <v>0.89</v>
      </c>
      <c r="L44" s="241">
        <f t="shared" si="3"/>
        <v>0.7</v>
      </c>
      <c r="M44" s="241">
        <f t="shared" si="3"/>
        <v>0.53</v>
      </c>
      <c r="N44" s="241">
        <f t="shared" ref="N44:W47" si="4">N43</f>
        <v>0.43</v>
      </c>
      <c r="O44" s="241">
        <f t="shared" si="4"/>
        <v>0.48</v>
      </c>
      <c r="P44" s="241">
        <f t="shared" si="4"/>
        <v>0.56000000000000005</v>
      </c>
      <c r="Q44" s="241">
        <f t="shared" si="4"/>
        <v>0.98</v>
      </c>
      <c r="R44" s="241">
        <f t="shared" si="4"/>
        <v>1.28</v>
      </c>
      <c r="S44" s="241">
        <f t="shared" si="4"/>
        <v>1.66</v>
      </c>
      <c r="T44" s="241">
        <f t="shared" si="4"/>
        <v>1.73</v>
      </c>
      <c r="U44" s="241">
        <f t="shared" si="4"/>
        <v>1.36</v>
      </c>
      <c r="V44" s="241">
        <f t="shared" si="4"/>
        <v>1.39</v>
      </c>
      <c r="W44" s="241">
        <f t="shared" si="4"/>
        <v>0.89</v>
      </c>
      <c r="X44" s="241">
        <f t="shared" ref="X44:AE47" si="5">X43</f>
        <v>0.7</v>
      </c>
      <c r="Y44" s="241">
        <f t="shared" si="5"/>
        <v>0.53</v>
      </c>
      <c r="Z44" s="241">
        <f t="shared" si="5"/>
        <v>0.43</v>
      </c>
      <c r="AA44" s="241">
        <f t="shared" si="5"/>
        <v>0.48</v>
      </c>
      <c r="AB44" s="241">
        <f t="shared" si="5"/>
        <v>0.56000000000000005</v>
      </c>
      <c r="AC44" s="241">
        <f t="shared" si="5"/>
        <v>0.98</v>
      </c>
      <c r="AD44" s="241">
        <f t="shared" si="5"/>
        <v>1.28</v>
      </c>
      <c r="AE44" s="241">
        <f t="shared" si="5"/>
        <v>1.66</v>
      </c>
      <c r="AG44" s="93"/>
      <c r="AH44" s="93"/>
      <c r="AI44" s="93"/>
      <c r="AJ44" s="93"/>
      <c r="AK44" s="93"/>
      <c r="AL44" s="93"/>
      <c r="AM44" s="93"/>
      <c r="AN44" s="93"/>
      <c r="AO44" s="93"/>
      <c r="AP44" s="93"/>
      <c r="AQ44" s="93"/>
      <c r="AR44" s="93"/>
      <c r="AS44" s="93"/>
      <c r="AT44" s="93"/>
      <c r="AU44" s="93"/>
      <c r="AV44" s="93"/>
      <c r="AW44" s="93"/>
      <c r="AX44" s="93"/>
      <c r="AY44" s="93"/>
      <c r="AZ44" s="93"/>
      <c r="BA44" s="93"/>
      <c r="BB44" s="93"/>
      <c r="BC44" s="93"/>
      <c r="BD44" s="93"/>
      <c r="BE44" s="93"/>
    </row>
    <row r="45" spans="2:57" s="115" customFormat="1" x14ac:dyDescent="0.25">
      <c r="B45" s="240">
        <v>2026</v>
      </c>
      <c r="C45" s="190"/>
      <c r="D45" s="241">
        <f t="shared" si="3"/>
        <v>1.5</v>
      </c>
      <c r="E45" s="241">
        <f t="shared" si="3"/>
        <v>0.7</v>
      </c>
      <c r="F45" s="241">
        <f t="shared" si="3"/>
        <v>0.49</v>
      </c>
      <c r="G45" s="241">
        <f t="shared" si="3"/>
        <v>1.31</v>
      </c>
      <c r="H45" s="241">
        <f t="shared" si="3"/>
        <v>1.73</v>
      </c>
      <c r="I45" s="241">
        <f t="shared" si="3"/>
        <v>1.36</v>
      </c>
      <c r="J45" s="241">
        <f t="shared" si="3"/>
        <v>1.39</v>
      </c>
      <c r="K45" s="241">
        <f t="shared" si="3"/>
        <v>0.89</v>
      </c>
      <c r="L45" s="241">
        <f t="shared" si="3"/>
        <v>0.7</v>
      </c>
      <c r="M45" s="241">
        <f t="shared" si="3"/>
        <v>0.53</v>
      </c>
      <c r="N45" s="241">
        <f t="shared" si="4"/>
        <v>0.43</v>
      </c>
      <c r="O45" s="241">
        <f t="shared" si="4"/>
        <v>0.48</v>
      </c>
      <c r="P45" s="241">
        <f t="shared" si="4"/>
        <v>0.56000000000000005</v>
      </c>
      <c r="Q45" s="241">
        <f t="shared" si="4"/>
        <v>0.98</v>
      </c>
      <c r="R45" s="241">
        <f t="shared" si="4"/>
        <v>1.28</v>
      </c>
      <c r="S45" s="241">
        <f t="shared" si="4"/>
        <v>1.66</v>
      </c>
      <c r="T45" s="241">
        <f t="shared" si="4"/>
        <v>1.73</v>
      </c>
      <c r="U45" s="241">
        <f t="shared" si="4"/>
        <v>1.36</v>
      </c>
      <c r="V45" s="241">
        <f t="shared" si="4"/>
        <v>1.39</v>
      </c>
      <c r="W45" s="241">
        <f t="shared" si="4"/>
        <v>0.89</v>
      </c>
      <c r="X45" s="241">
        <f t="shared" si="5"/>
        <v>0.7</v>
      </c>
      <c r="Y45" s="241">
        <f t="shared" si="5"/>
        <v>0.53</v>
      </c>
      <c r="Z45" s="241">
        <f t="shared" si="5"/>
        <v>0.43</v>
      </c>
      <c r="AA45" s="241">
        <f t="shared" si="5"/>
        <v>0.48</v>
      </c>
      <c r="AB45" s="241">
        <f t="shared" si="5"/>
        <v>0.56000000000000005</v>
      </c>
      <c r="AC45" s="241">
        <f t="shared" si="5"/>
        <v>0.98</v>
      </c>
      <c r="AD45" s="241">
        <f t="shared" si="5"/>
        <v>1.28</v>
      </c>
      <c r="AE45" s="241">
        <f t="shared" si="5"/>
        <v>1.66</v>
      </c>
      <c r="AG45" s="93"/>
      <c r="AH45" s="93"/>
      <c r="AI45" s="93"/>
      <c r="AJ45" s="93"/>
      <c r="AK45" s="93"/>
      <c r="AL45" s="93"/>
      <c r="AM45" s="93"/>
      <c r="AN45" s="93"/>
      <c r="AO45" s="93"/>
      <c r="AP45" s="93"/>
      <c r="AQ45" s="93"/>
      <c r="AR45" s="93"/>
      <c r="AS45" s="93"/>
      <c r="AT45" s="93"/>
      <c r="AU45" s="93"/>
      <c r="AV45" s="93"/>
      <c r="AW45" s="93"/>
      <c r="AX45" s="93"/>
      <c r="AY45" s="93"/>
      <c r="AZ45" s="93"/>
      <c r="BA45" s="93"/>
      <c r="BB45" s="93"/>
      <c r="BC45" s="93"/>
      <c r="BD45" s="93"/>
      <c r="BE45" s="93"/>
    </row>
    <row r="46" spans="2:57" s="115" customFormat="1" x14ac:dyDescent="0.25">
      <c r="B46" s="240">
        <v>2027</v>
      </c>
      <c r="C46" s="190"/>
      <c r="D46" s="241">
        <f t="shared" si="3"/>
        <v>1.5</v>
      </c>
      <c r="E46" s="241">
        <f t="shared" si="3"/>
        <v>0.7</v>
      </c>
      <c r="F46" s="241">
        <f t="shared" si="3"/>
        <v>0.49</v>
      </c>
      <c r="G46" s="241">
        <f t="shared" si="3"/>
        <v>1.31</v>
      </c>
      <c r="H46" s="241">
        <f t="shared" si="3"/>
        <v>1.73</v>
      </c>
      <c r="I46" s="241">
        <f t="shared" si="3"/>
        <v>1.36</v>
      </c>
      <c r="J46" s="241">
        <f t="shared" si="3"/>
        <v>1.39</v>
      </c>
      <c r="K46" s="241">
        <f t="shared" si="3"/>
        <v>0.89</v>
      </c>
      <c r="L46" s="241">
        <f t="shared" si="3"/>
        <v>0.7</v>
      </c>
      <c r="M46" s="241">
        <f t="shared" si="3"/>
        <v>0.53</v>
      </c>
      <c r="N46" s="241">
        <f t="shared" si="4"/>
        <v>0.43</v>
      </c>
      <c r="O46" s="241">
        <f t="shared" si="4"/>
        <v>0.48</v>
      </c>
      <c r="P46" s="241">
        <f t="shared" si="4"/>
        <v>0.56000000000000005</v>
      </c>
      <c r="Q46" s="241">
        <f t="shared" si="4"/>
        <v>0.98</v>
      </c>
      <c r="R46" s="241">
        <f t="shared" si="4"/>
        <v>1.28</v>
      </c>
      <c r="S46" s="241">
        <f t="shared" si="4"/>
        <v>1.66</v>
      </c>
      <c r="T46" s="241">
        <f t="shared" si="4"/>
        <v>1.73</v>
      </c>
      <c r="U46" s="241">
        <f t="shared" si="4"/>
        <v>1.36</v>
      </c>
      <c r="V46" s="241">
        <f t="shared" si="4"/>
        <v>1.39</v>
      </c>
      <c r="W46" s="241">
        <f t="shared" si="4"/>
        <v>0.89</v>
      </c>
      <c r="X46" s="241">
        <f t="shared" si="5"/>
        <v>0.7</v>
      </c>
      <c r="Y46" s="241">
        <f t="shared" si="5"/>
        <v>0.53</v>
      </c>
      <c r="Z46" s="241">
        <f t="shared" si="5"/>
        <v>0.43</v>
      </c>
      <c r="AA46" s="241">
        <f t="shared" si="5"/>
        <v>0.48</v>
      </c>
      <c r="AB46" s="241">
        <f t="shared" si="5"/>
        <v>0.56000000000000005</v>
      </c>
      <c r="AC46" s="241">
        <f t="shared" si="5"/>
        <v>0.98</v>
      </c>
      <c r="AD46" s="241">
        <f t="shared" si="5"/>
        <v>1.28</v>
      </c>
      <c r="AE46" s="241">
        <f t="shared" si="5"/>
        <v>1.66</v>
      </c>
      <c r="AG46" s="93"/>
      <c r="AH46" s="93"/>
      <c r="AI46" s="93"/>
      <c r="AJ46" s="93"/>
      <c r="AK46" s="93"/>
      <c r="AL46" s="93"/>
      <c r="AM46" s="93"/>
      <c r="AN46" s="93"/>
      <c r="AO46" s="93"/>
      <c r="AP46" s="93"/>
      <c r="AQ46" s="93"/>
      <c r="AR46" s="93"/>
      <c r="AS46" s="93"/>
      <c r="AT46" s="93"/>
      <c r="AU46" s="93"/>
      <c r="AV46" s="93"/>
      <c r="AW46" s="93"/>
      <c r="AX46" s="93"/>
      <c r="AY46" s="93"/>
      <c r="AZ46" s="93"/>
      <c r="BA46" s="93"/>
      <c r="BB46" s="93"/>
      <c r="BC46" s="93"/>
      <c r="BD46" s="93"/>
      <c r="BE46" s="93"/>
    </row>
    <row r="47" spans="2:57" s="115" customFormat="1" x14ac:dyDescent="0.25">
      <c r="B47" s="240">
        <v>2028</v>
      </c>
      <c r="C47" s="190"/>
      <c r="D47" s="241">
        <f t="shared" si="3"/>
        <v>1.5</v>
      </c>
      <c r="E47" s="241">
        <f t="shared" si="3"/>
        <v>0.7</v>
      </c>
      <c r="F47" s="241">
        <f t="shared" si="3"/>
        <v>0.49</v>
      </c>
      <c r="G47" s="241">
        <f t="shared" si="3"/>
        <v>1.31</v>
      </c>
      <c r="H47" s="241">
        <f t="shared" si="3"/>
        <v>1.73</v>
      </c>
      <c r="I47" s="241">
        <f t="shared" si="3"/>
        <v>1.36</v>
      </c>
      <c r="J47" s="241">
        <f t="shared" si="3"/>
        <v>1.39</v>
      </c>
      <c r="K47" s="241">
        <f t="shared" si="3"/>
        <v>0.89</v>
      </c>
      <c r="L47" s="241">
        <f t="shared" si="3"/>
        <v>0.7</v>
      </c>
      <c r="M47" s="241">
        <f t="shared" si="3"/>
        <v>0.53</v>
      </c>
      <c r="N47" s="241">
        <f t="shared" si="4"/>
        <v>0.43</v>
      </c>
      <c r="O47" s="241">
        <f t="shared" si="4"/>
        <v>0.48</v>
      </c>
      <c r="P47" s="241">
        <f t="shared" si="4"/>
        <v>0.56000000000000005</v>
      </c>
      <c r="Q47" s="241">
        <f t="shared" si="4"/>
        <v>0.98</v>
      </c>
      <c r="R47" s="241">
        <f t="shared" si="4"/>
        <v>1.28</v>
      </c>
      <c r="S47" s="241">
        <f t="shared" si="4"/>
        <v>1.66</v>
      </c>
      <c r="T47" s="241">
        <f t="shared" si="4"/>
        <v>1.73</v>
      </c>
      <c r="U47" s="241">
        <f t="shared" si="4"/>
        <v>1.36</v>
      </c>
      <c r="V47" s="241">
        <f t="shared" si="4"/>
        <v>1.39</v>
      </c>
      <c r="W47" s="241">
        <f t="shared" si="4"/>
        <v>0.89</v>
      </c>
      <c r="X47" s="241">
        <f t="shared" si="5"/>
        <v>0.7</v>
      </c>
      <c r="Y47" s="241">
        <f t="shared" si="5"/>
        <v>0.53</v>
      </c>
      <c r="Z47" s="241">
        <f t="shared" si="5"/>
        <v>0.43</v>
      </c>
      <c r="AA47" s="241">
        <f t="shared" si="5"/>
        <v>0.48</v>
      </c>
      <c r="AB47" s="241">
        <f t="shared" si="5"/>
        <v>0.56000000000000005</v>
      </c>
      <c r="AC47" s="241">
        <f t="shared" si="5"/>
        <v>0.98</v>
      </c>
      <c r="AD47" s="241">
        <f t="shared" si="5"/>
        <v>1.28</v>
      </c>
      <c r="AE47" s="241">
        <f t="shared" si="5"/>
        <v>1.66</v>
      </c>
      <c r="AG47" s="93"/>
      <c r="AH47" s="93"/>
      <c r="AI47" s="93"/>
      <c r="AJ47" s="93"/>
      <c r="AK47" s="93"/>
      <c r="AL47" s="93"/>
      <c r="AM47" s="93"/>
      <c r="AN47" s="93"/>
      <c r="AO47" s="93"/>
      <c r="AP47" s="93"/>
      <c r="AQ47" s="93"/>
      <c r="AR47" s="93"/>
      <c r="AS47" s="93"/>
      <c r="AT47" s="93"/>
      <c r="AU47" s="93"/>
      <c r="AV47" s="93"/>
      <c r="AW47" s="93"/>
      <c r="AX47" s="93"/>
      <c r="AY47" s="93"/>
      <c r="AZ47" s="93"/>
      <c r="BA47" s="93"/>
      <c r="BB47" s="93"/>
      <c r="BC47" s="93"/>
      <c r="BD47" s="93"/>
      <c r="BE47" s="93"/>
    </row>
    <row r="49" spans="2:43" s="115" customFormat="1" ht="15.75" x14ac:dyDescent="0.25">
      <c r="B49" s="337" t="s">
        <v>171</v>
      </c>
      <c r="C49" s="338"/>
      <c r="D49" s="338"/>
      <c r="E49" s="338"/>
      <c r="F49" s="338"/>
      <c r="G49" s="338"/>
      <c r="H49" s="338"/>
      <c r="I49" s="338"/>
      <c r="J49" s="338"/>
      <c r="K49" s="338"/>
      <c r="L49" s="338"/>
      <c r="M49" s="338"/>
      <c r="N49" s="338"/>
      <c r="O49" s="338"/>
      <c r="P49" s="338"/>
      <c r="Q49" s="338"/>
      <c r="R49" s="338"/>
      <c r="S49" s="338"/>
      <c r="T49" s="338"/>
      <c r="U49" s="338"/>
      <c r="V49" s="338"/>
      <c r="W49" s="338"/>
      <c r="X49" s="338"/>
      <c r="Y49" s="338"/>
      <c r="Z49" s="338"/>
      <c r="AA49" s="338"/>
      <c r="AB49" s="338"/>
      <c r="AC49" s="338"/>
      <c r="AD49" s="338"/>
      <c r="AE49" s="338"/>
      <c r="AF49" s="338"/>
      <c r="AG49" s="338"/>
      <c r="AH49" s="338"/>
      <c r="AI49" s="338"/>
      <c r="AJ49" s="338"/>
      <c r="AK49" s="338"/>
      <c r="AL49" s="338"/>
      <c r="AM49" s="338"/>
      <c r="AN49" s="338"/>
      <c r="AO49" s="338"/>
      <c r="AP49" s="338"/>
      <c r="AQ49" s="339"/>
    </row>
    <row r="50" spans="2:43" s="115" customFormat="1" ht="14.45" customHeight="1" x14ac:dyDescent="0.25">
      <c r="B50" s="256"/>
      <c r="C50" s="340" t="s">
        <v>79</v>
      </c>
      <c r="D50" s="343" t="s">
        <v>75</v>
      </c>
      <c r="E50" s="344"/>
      <c r="F50" s="344"/>
      <c r="G50" s="345"/>
      <c r="H50" s="343" t="s">
        <v>76</v>
      </c>
      <c r="I50" s="344"/>
      <c r="J50" s="344"/>
      <c r="K50" s="344"/>
      <c r="L50" s="344"/>
      <c r="M50" s="344"/>
      <c r="N50" s="344"/>
      <c r="O50" s="344"/>
      <c r="P50" s="344"/>
      <c r="Q50" s="344"/>
      <c r="R50" s="344"/>
      <c r="S50" s="345"/>
      <c r="T50" s="343" t="s">
        <v>77</v>
      </c>
      <c r="U50" s="344"/>
      <c r="V50" s="344"/>
      <c r="W50" s="344"/>
      <c r="X50" s="344"/>
      <c r="Y50" s="344"/>
      <c r="Z50" s="344"/>
      <c r="AA50" s="344"/>
      <c r="AB50" s="344"/>
      <c r="AC50" s="344"/>
      <c r="AD50" s="344"/>
      <c r="AE50" s="345"/>
      <c r="AF50" s="346" t="s">
        <v>78</v>
      </c>
      <c r="AG50" s="344"/>
      <c r="AH50" s="344"/>
      <c r="AI50" s="344"/>
      <c r="AJ50" s="344"/>
      <c r="AK50" s="344"/>
      <c r="AL50" s="344"/>
      <c r="AM50" s="344"/>
      <c r="AN50" s="344"/>
      <c r="AO50" s="344"/>
      <c r="AP50" s="344"/>
      <c r="AQ50" s="347"/>
    </row>
    <row r="51" spans="2:43" s="115" customFormat="1" x14ac:dyDescent="0.25">
      <c r="B51" s="245" t="s">
        <v>72</v>
      </c>
      <c r="C51" s="341"/>
      <c r="D51" s="249" t="s">
        <v>46</v>
      </c>
      <c r="E51" s="250" t="s">
        <v>47</v>
      </c>
      <c r="F51" s="250" t="s">
        <v>48</v>
      </c>
      <c r="G51" s="251" t="s">
        <v>49</v>
      </c>
      <c r="H51" s="226" t="s">
        <v>13</v>
      </c>
      <c r="I51" s="239" t="s">
        <v>14</v>
      </c>
      <c r="J51" s="239" t="s">
        <v>15</v>
      </c>
      <c r="K51" s="239" t="s">
        <v>16</v>
      </c>
      <c r="L51" s="239" t="s">
        <v>17</v>
      </c>
      <c r="M51" s="239" t="s">
        <v>18</v>
      </c>
      <c r="N51" s="239" t="s">
        <v>19</v>
      </c>
      <c r="O51" s="239" t="s">
        <v>20</v>
      </c>
      <c r="P51" s="239" t="s">
        <v>21</v>
      </c>
      <c r="Q51" s="239" t="s">
        <v>22</v>
      </c>
      <c r="R51" s="239" t="s">
        <v>23</v>
      </c>
      <c r="S51" s="238" t="s">
        <v>24</v>
      </c>
      <c r="T51" s="226" t="s">
        <v>13</v>
      </c>
      <c r="U51" s="239" t="s">
        <v>14</v>
      </c>
      <c r="V51" s="239" t="s">
        <v>15</v>
      </c>
      <c r="W51" s="239" t="s">
        <v>16</v>
      </c>
      <c r="X51" s="239" t="s">
        <v>17</v>
      </c>
      <c r="Y51" s="239" t="s">
        <v>18</v>
      </c>
      <c r="Z51" s="239" t="s">
        <v>19</v>
      </c>
      <c r="AA51" s="239" t="s">
        <v>20</v>
      </c>
      <c r="AB51" s="239" t="s">
        <v>21</v>
      </c>
      <c r="AC51" s="239" t="s">
        <v>22</v>
      </c>
      <c r="AD51" s="239" t="s">
        <v>23</v>
      </c>
      <c r="AE51" s="238" t="s">
        <v>24</v>
      </c>
      <c r="AF51" s="227" t="s">
        <v>13</v>
      </c>
      <c r="AG51" s="239" t="s">
        <v>14</v>
      </c>
      <c r="AH51" s="239" t="s">
        <v>15</v>
      </c>
      <c r="AI51" s="239" t="s">
        <v>16</v>
      </c>
      <c r="AJ51" s="239" t="s">
        <v>17</v>
      </c>
      <c r="AK51" s="239" t="s">
        <v>18</v>
      </c>
      <c r="AL51" s="239" t="s">
        <v>19</v>
      </c>
      <c r="AM51" s="239" t="s">
        <v>20</v>
      </c>
      <c r="AN51" s="239" t="s">
        <v>21</v>
      </c>
      <c r="AO51" s="239" t="s">
        <v>22</v>
      </c>
      <c r="AP51" s="239" t="s">
        <v>23</v>
      </c>
      <c r="AQ51" s="246" t="s">
        <v>24</v>
      </c>
    </row>
    <row r="52" spans="2:43" s="115" customFormat="1" x14ac:dyDescent="0.25">
      <c r="B52" s="245" t="s">
        <v>73</v>
      </c>
      <c r="C52" s="342"/>
      <c r="D52" s="202">
        <f>1/$C$11*D11*$D$21</f>
        <v>0.27123287671232882</v>
      </c>
      <c r="E52" s="197">
        <f>1/$C$11*E11*$D$21</f>
        <v>0.27424657534246577</v>
      </c>
      <c r="F52" s="197">
        <f>1/$C$11*F11*$D$21</f>
        <v>0.27726027397260278</v>
      </c>
      <c r="G52" s="198">
        <f>1/$C$11*G11*$D$21</f>
        <v>0.27726027397260278</v>
      </c>
      <c r="H52" s="200">
        <f t="shared" ref="H52:S52" si="6">1/$C$11*H11*$E$21</f>
        <v>0.10616438356164383</v>
      </c>
      <c r="I52" s="200">
        <f t="shared" si="6"/>
        <v>9.5890410958904118E-2</v>
      </c>
      <c r="J52" s="200">
        <f t="shared" si="6"/>
        <v>0.10616438356164383</v>
      </c>
      <c r="K52" s="200">
        <f t="shared" si="6"/>
        <v>0.10273972602739725</v>
      </c>
      <c r="L52" s="200">
        <f t="shared" si="6"/>
        <v>0.10616438356164383</v>
      </c>
      <c r="M52" s="200">
        <f t="shared" si="6"/>
        <v>0.10273972602739725</v>
      </c>
      <c r="N52" s="200">
        <f t="shared" si="6"/>
        <v>0.10616438356164383</v>
      </c>
      <c r="O52" s="200">
        <f t="shared" si="6"/>
        <v>0.10616438356164383</v>
      </c>
      <c r="P52" s="200">
        <f t="shared" si="6"/>
        <v>0.10273972602739725</v>
      </c>
      <c r="Q52" s="200">
        <f t="shared" si="6"/>
        <v>0.10616438356164383</v>
      </c>
      <c r="R52" s="200">
        <f t="shared" si="6"/>
        <v>0.10273972602739725</v>
      </c>
      <c r="S52" s="198">
        <f t="shared" si="6"/>
        <v>0.10616438356164383</v>
      </c>
      <c r="T52" s="197">
        <f t="shared" ref="T52:AE52" si="7">1/$C$11*$F$21</f>
        <v>4.1095890410958909E-3</v>
      </c>
      <c r="U52" s="197">
        <f t="shared" si="7"/>
        <v>4.1095890410958909E-3</v>
      </c>
      <c r="V52" s="197">
        <f t="shared" si="7"/>
        <v>4.1095890410958909E-3</v>
      </c>
      <c r="W52" s="197">
        <f t="shared" si="7"/>
        <v>4.1095890410958909E-3</v>
      </c>
      <c r="X52" s="197">
        <f t="shared" si="7"/>
        <v>4.1095890410958909E-3</v>
      </c>
      <c r="Y52" s="197">
        <f t="shared" si="7"/>
        <v>4.1095890410958909E-3</v>
      </c>
      <c r="Z52" s="197">
        <f t="shared" si="7"/>
        <v>4.1095890410958909E-3</v>
      </c>
      <c r="AA52" s="197">
        <f t="shared" si="7"/>
        <v>4.1095890410958909E-3</v>
      </c>
      <c r="AB52" s="197">
        <f t="shared" si="7"/>
        <v>4.1095890410958909E-3</v>
      </c>
      <c r="AC52" s="197">
        <f t="shared" si="7"/>
        <v>4.1095890410958909E-3</v>
      </c>
      <c r="AD52" s="197">
        <f t="shared" si="7"/>
        <v>4.1095890410958909E-3</v>
      </c>
      <c r="AE52" s="198">
        <f t="shared" si="7"/>
        <v>4.1095890410958909E-3</v>
      </c>
      <c r="AF52" s="200">
        <f t="shared" ref="AF52:AQ52" si="8">1/$C$11*$G$21</f>
        <v>4.1095890410958909E-3</v>
      </c>
      <c r="AG52" s="200">
        <f t="shared" si="8"/>
        <v>4.1095890410958909E-3</v>
      </c>
      <c r="AH52" s="200">
        <f t="shared" si="8"/>
        <v>4.1095890410958909E-3</v>
      </c>
      <c r="AI52" s="200">
        <f t="shared" si="8"/>
        <v>4.1095890410958909E-3</v>
      </c>
      <c r="AJ52" s="200">
        <f t="shared" si="8"/>
        <v>4.1095890410958909E-3</v>
      </c>
      <c r="AK52" s="200">
        <f t="shared" si="8"/>
        <v>4.1095890410958909E-3</v>
      </c>
      <c r="AL52" s="200">
        <f t="shared" si="8"/>
        <v>4.1095890410958909E-3</v>
      </c>
      <c r="AM52" s="200">
        <f t="shared" si="8"/>
        <v>4.1095890410958909E-3</v>
      </c>
      <c r="AN52" s="200">
        <f t="shared" si="8"/>
        <v>4.1095890410958909E-3</v>
      </c>
      <c r="AO52" s="200">
        <f t="shared" si="8"/>
        <v>4.1095890410958909E-3</v>
      </c>
      <c r="AP52" s="200">
        <f t="shared" si="8"/>
        <v>4.1095890410958909E-3</v>
      </c>
      <c r="AQ52" s="257">
        <f t="shared" si="8"/>
        <v>4.1095890410958909E-3</v>
      </c>
    </row>
    <row r="53" spans="2:43" s="115" customFormat="1" x14ac:dyDescent="0.25">
      <c r="B53" s="245" t="s">
        <v>153</v>
      </c>
      <c r="C53" s="342"/>
      <c r="D53" s="202">
        <f>1/$C$11*D11*$H$21</f>
        <v>0.27123287671232882</v>
      </c>
      <c r="E53" s="197">
        <f>1/$C$11*E11*$H$21</f>
        <v>0.27424657534246577</v>
      </c>
      <c r="F53" s="197">
        <f>1/$C$11*F11*$H$21</f>
        <v>0.27726027397260278</v>
      </c>
      <c r="G53" s="198">
        <f>1/$C$11*G11*$H$21</f>
        <v>0.27726027397260278</v>
      </c>
      <c r="H53" s="200">
        <f t="shared" ref="H53:S53" si="9">1/$C$11*H11*$I$21</f>
        <v>0.10616438356164383</v>
      </c>
      <c r="I53" s="200">
        <f t="shared" si="9"/>
        <v>9.5890410958904118E-2</v>
      </c>
      <c r="J53" s="200">
        <f t="shared" si="9"/>
        <v>0.10616438356164383</v>
      </c>
      <c r="K53" s="200">
        <f t="shared" si="9"/>
        <v>0.10273972602739725</v>
      </c>
      <c r="L53" s="200">
        <f t="shared" si="9"/>
        <v>0.10616438356164383</v>
      </c>
      <c r="M53" s="200">
        <f t="shared" si="9"/>
        <v>0.10273972602739725</v>
      </c>
      <c r="N53" s="200">
        <f t="shared" si="9"/>
        <v>0.10616438356164383</v>
      </c>
      <c r="O53" s="200">
        <f t="shared" si="9"/>
        <v>0.10616438356164383</v>
      </c>
      <c r="P53" s="200">
        <f t="shared" si="9"/>
        <v>0.10273972602739725</v>
      </c>
      <c r="Q53" s="200">
        <f t="shared" si="9"/>
        <v>0.10616438356164383</v>
      </c>
      <c r="R53" s="200">
        <f t="shared" si="9"/>
        <v>0.10273972602739725</v>
      </c>
      <c r="S53" s="198">
        <f t="shared" si="9"/>
        <v>0.10616438356164383</v>
      </c>
      <c r="T53" s="197">
        <f t="shared" ref="T53:AE53" si="10">1/$C$11*$J$21</f>
        <v>4.1095890410958909E-3</v>
      </c>
      <c r="U53" s="197">
        <f t="shared" si="10"/>
        <v>4.1095890410958909E-3</v>
      </c>
      <c r="V53" s="197">
        <f t="shared" si="10"/>
        <v>4.1095890410958909E-3</v>
      </c>
      <c r="W53" s="197">
        <f t="shared" si="10"/>
        <v>4.1095890410958909E-3</v>
      </c>
      <c r="X53" s="197">
        <f t="shared" si="10"/>
        <v>4.1095890410958909E-3</v>
      </c>
      <c r="Y53" s="197">
        <f t="shared" si="10"/>
        <v>4.1095890410958909E-3</v>
      </c>
      <c r="Z53" s="197">
        <f t="shared" si="10"/>
        <v>4.1095890410958909E-3</v>
      </c>
      <c r="AA53" s="197">
        <f t="shared" si="10"/>
        <v>4.1095890410958909E-3</v>
      </c>
      <c r="AB53" s="197">
        <f t="shared" si="10"/>
        <v>4.1095890410958909E-3</v>
      </c>
      <c r="AC53" s="197">
        <f t="shared" si="10"/>
        <v>4.1095890410958909E-3</v>
      </c>
      <c r="AD53" s="197">
        <f t="shared" si="10"/>
        <v>4.1095890410958909E-3</v>
      </c>
      <c r="AE53" s="198">
        <f t="shared" si="10"/>
        <v>4.1095890410958909E-3</v>
      </c>
      <c r="AF53" s="200">
        <f t="shared" ref="AF53:AQ53" si="11">1/$C$11*$K$21</f>
        <v>4.1095890410958909E-3</v>
      </c>
      <c r="AG53" s="200">
        <f t="shared" si="11"/>
        <v>4.1095890410958909E-3</v>
      </c>
      <c r="AH53" s="200">
        <f t="shared" si="11"/>
        <v>4.1095890410958909E-3</v>
      </c>
      <c r="AI53" s="200">
        <f t="shared" si="11"/>
        <v>4.1095890410958909E-3</v>
      </c>
      <c r="AJ53" s="200">
        <f t="shared" si="11"/>
        <v>4.1095890410958909E-3</v>
      </c>
      <c r="AK53" s="200">
        <f t="shared" si="11"/>
        <v>4.1095890410958909E-3</v>
      </c>
      <c r="AL53" s="200">
        <f t="shared" si="11"/>
        <v>4.1095890410958909E-3</v>
      </c>
      <c r="AM53" s="200">
        <f t="shared" si="11"/>
        <v>4.1095890410958909E-3</v>
      </c>
      <c r="AN53" s="200">
        <f t="shared" si="11"/>
        <v>4.1095890410958909E-3</v>
      </c>
      <c r="AO53" s="200">
        <f t="shared" si="11"/>
        <v>4.1095890410958909E-3</v>
      </c>
      <c r="AP53" s="200">
        <f t="shared" si="11"/>
        <v>4.1095890410958909E-3</v>
      </c>
      <c r="AQ53" s="257">
        <f t="shared" si="11"/>
        <v>4.1095890410958909E-3</v>
      </c>
    </row>
    <row r="54" spans="2:43" s="115" customFormat="1" x14ac:dyDescent="0.25">
      <c r="B54" s="245" t="s">
        <v>74</v>
      </c>
      <c r="C54" s="342"/>
      <c r="D54" s="202">
        <f>1/$C$11*D11*$L$21*D42</f>
        <v>0.47157534246575344</v>
      </c>
      <c r="E54" s="197">
        <f>1/$C$11*E11*$L$21*E42</f>
        <v>0.19945205479452058</v>
      </c>
      <c r="F54" s="197">
        <f>1/$C$11*F11*$L$21*F42</f>
        <v>0.15438356164383563</v>
      </c>
      <c r="G54" s="198">
        <f>1/$C$11*G11*$L$21*G42</f>
        <v>0.42219178082191788</v>
      </c>
      <c r="H54" s="200">
        <f t="shared" ref="H54:S54" si="12">1/$C$11*H11*$M$21*H42</f>
        <v>0.23186301369863016</v>
      </c>
      <c r="I54" s="200">
        <f t="shared" si="12"/>
        <v>0.15764383561643835</v>
      </c>
      <c r="J54" s="200">
        <f t="shared" si="12"/>
        <v>0.17963013698630137</v>
      </c>
      <c r="K54" s="200">
        <f t="shared" si="12"/>
        <v>9.986301369863014E-2</v>
      </c>
      <c r="L54" s="200">
        <f t="shared" si="12"/>
        <v>7.7712328767123293E-2</v>
      </c>
      <c r="M54" s="200">
        <f t="shared" si="12"/>
        <v>6.0410958904109587E-2</v>
      </c>
      <c r="N54" s="200">
        <f t="shared" si="12"/>
        <v>4.9684931506849321E-2</v>
      </c>
      <c r="O54" s="200">
        <f t="shared" si="12"/>
        <v>5.8602739726027399E-2</v>
      </c>
      <c r="P54" s="200">
        <f t="shared" si="12"/>
        <v>7.6438356164383561E-2</v>
      </c>
      <c r="Q54" s="200">
        <f t="shared" si="12"/>
        <v>0.1363150684931507</v>
      </c>
      <c r="R54" s="200">
        <f t="shared" si="12"/>
        <v>0.16643835616438357</v>
      </c>
      <c r="S54" s="198">
        <f t="shared" si="12"/>
        <v>0.20383561643835618</v>
      </c>
      <c r="T54" s="197">
        <f t="shared" ref="T54:AE54" si="13">1/$C$11*$N$21*T42</f>
        <v>1.4958904109589043E-2</v>
      </c>
      <c r="U54" s="197">
        <f t="shared" si="13"/>
        <v>1.1260273972602743E-2</v>
      </c>
      <c r="V54" s="197">
        <f t="shared" si="13"/>
        <v>1.1589041095890412E-2</v>
      </c>
      <c r="W54" s="197">
        <f t="shared" si="13"/>
        <v>6.657534246575344E-3</v>
      </c>
      <c r="X54" s="197">
        <f t="shared" si="13"/>
        <v>5.0136986301369865E-3</v>
      </c>
      <c r="Y54" s="197">
        <f t="shared" si="13"/>
        <v>4.0273972602739728E-3</v>
      </c>
      <c r="Z54" s="197">
        <f t="shared" si="13"/>
        <v>3.2054794520547949E-3</v>
      </c>
      <c r="AA54" s="197">
        <f t="shared" si="13"/>
        <v>3.7808219178082198E-3</v>
      </c>
      <c r="AB54" s="197">
        <f t="shared" si="13"/>
        <v>5.0958904109589045E-3</v>
      </c>
      <c r="AC54" s="197">
        <f t="shared" si="13"/>
        <v>8.7945205479452067E-3</v>
      </c>
      <c r="AD54" s="197">
        <f t="shared" si="13"/>
        <v>1.1095890410958906E-2</v>
      </c>
      <c r="AE54" s="198">
        <f t="shared" si="13"/>
        <v>1.3150684931506852E-2</v>
      </c>
      <c r="AF54" s="200">
        <f t="shared" ref="AF54:AQ54" si="14">1/$C$11*$N$21*T42</f>
        <v>1.4958904109589043E-2</v>
      </c>
      <c r="AG54" s="200">
        <f t="shared" si="14"/>
        <v>1.1260273972602743E-2</v>
      </c>
      <c r="AH54" s="200">
        <f t="shared" si="14"/>
        <v>1.1589041095890412E-2</v>
      </c>
      <c r="AI54" s="200">
        <f t="shared" si="14"/>
        <v>6.657534246575344E-3</v>
      </c>
      <c r="AJ54" s="200">
        <f t="shared" si="14"/>
        <v>5.0136986301369865E-3</v>
      </c>
      <c r="AK54" s="200">
        <f t="shared" si="14"/>
        <v>4.0273972602739728E-3</v>
      </c>
      <c r="AL54" s="200">
        <f t="shared" si="14"/>
        <v>3.2054794520547949E-3</v>
      </c>
      <c r="AM54" s="200">
        <f t="shared" si="14"/>
        <v>3.7808219178082198E-3</v>
      </c>
      <c r="AN54" s="200">
        <f t="shared" si="14"/>
        <v>5.0958904109589045E-3</v>
      </c>
      <c r="AO54" s="200">
        <f t="shared" si="14"/>
        <v>8.7945205479452067E-3</v>
      </c>
      <c r="AP54" s="200">
        <f t="shared" si="14"/>
        <v>1.1095890410958906E-2</v>
      </c>
      <c r="AQ54" s="257">
        <f t="shared" si="14"/>
        <v>1.3150684931506852E-2</v>
      </c>
    </row>
    <row r="55" spans="2:43" s="115" customFormat="1" x14ac:dyDescent="0.25">
      <c r="B55" s="245" t="s">
        <v>154</v>
      </c>
      <c r="C55" s="342"/>
      <c r="D55" s="202">
        <f>1/$C$11*D11*$L$21*D32</f>
        <v>0.47157534246575344</v>
      </c>
      <c r="E55" s="197">
        <f>1/$C$11*E11*$L$21*E32</f>
        <v>0.19945205479452058</v>
      </c>
      <c r="F55" s="197">
        <f>1/$C$11*F11*$L$21*F32</f>
        <v>0.15438356164383563</v>
      </c>
      <c r="G55" s="198">
        <f>1/$C$11*G11*$L$21*G32</f>
        <v>0.42219178082191788</v>
      </c>
      <c r="H55" s="200">
        <f t="shared" ref="H55:S55" si="15">1/$C$11*H11*$M$21*H32</f>
        <v>0.23186301369863016</v>
      </c>
      <c r="I55" s="200">
        <f t="shared" si="15"/>
        <v>0.15764383561643835</v>
      </c>
      <c r="J55" s="200">
        <f t="shared" si="15"/>
        <v>0.17963013698630137</v>
      </c>
      <c r="K55" s="200">
        <f t="shared" si="15"/>
        <v>9.986301369863014E-2</v>
      </c>
      <c r="L55" s="200">
        <f t="shared" si="15"/>
        <v>7.7712328767123293E-2</v>
      </c>
      <c r="M55" s="200">
        <f t="shared" si="15"/>
        <v>6.0410958904109587E-2</v>
      </c>
      <c r="N55" s="200">
        <f t="shared" si="15"/>
        <v>4.9684931506849321E-2</v>
      </c>
      <c r="O55" s="200">
        <f t="shared" si="15"/>
        <v>5.8602739726027399E-2</v>
      </c>
      <c r="P55" s="200">
        <f t="shared" si="15"/>
        <v>7.6438356164383561E-2</v>
      </c>
      <c r="Q55" s="200">
        <f t="shared" si="15"/>
        <v>0.1363150684931507</v>
      </c>
      <c r="R55" s="200">
        <f t="shared" si="15"/>
        <v>0.16643835616438357</v>
      </c>
      <c r="S55" s="198">
        <f t="shared" si="15"/>
        <v>0.20383561643835618</v>
      </c>
      <c r="T55" s="197">
        <f t="shared" ref="T55:AE55" si="16">1/$C$11*$N$21*T32</f>
        <v>1.4958904109589043E-2</v>
      </c>
      <c r="U55" s="197">
        <f t="shared" si="16"/>
        <v>1.1260273972602743E-2</v>
      </c>
      <c r="V55" s="197">
        <f t="shared" si="16"/>
        <v>1.1589041095890412E-2</v>
      </c>
      <c r="W55" s="197">
        <f t="shared" si="16"/>
        <v>6.657534246575344E-3</v>
      </c>
      <c r="X55" s="197">
        <f t="shared" si="16"/>
        <v>5.0136986301369865E-3</v>
      </c>
      <c r="Y55" s="197">
        <f t="shared" si="16"/>
        <v>4.0273972602739728E-3</v>
      </c>
      <c r="Z55" s="197">
        <f t="shared" si="16"/>
        <v>3.2054794520547949E-3</v>
      </c>
      <c r="AA55" s="197">
        <f t="shared" si="16"/>
        <v>3.7808219178082198E-3</v>
      </c>
      <c r="AB55" s="197">
        <f t="shared" si="16"/>
        <v>5.0958904109589045E-3</v>
      </c>
      <c r="AC55" s="197">
        <f t="shared" si="16"/>
        <v>8.7945205479452067E-3</v>
      </c>
      <c r="AD55" s="197">
        <f t="shared" si="16"/>
        <v>1.1095890410958906E-2</v>
      </c>
      <c r="AE55" s="198">
        <f t="shared" si="16"/>
        <v>1.3150684931506852E-2</v>
      </c>
      <c r="AF55" s="200">
        <f t="shared" ref="AF55:AQ55" si="17">1/$C$11*$N$21*T32</f>
        <v>1.4958904109589043E-2</v>
      </c>
      <c r="AG55" s="200">
        <f t="shared" si="17"/>
        <v>1.1260273972602743E-2</v>
      </c>
      <c r="AH55" s="200">
        <f t="shared" si="17"/>
        <v>1.1589041095890412E-2</v>
      </c>
      <c r="AI55" s="200">
        <f t="shared" si="17"/>
        <v>6.657534246575344E-3</v>
      </c>
      <c r="AJ55" s="200">
        <f t="shared" si="17"/>
        <v>5.0136986301369865E-3</v>
      </c>
      <c r="AK55" s="200">
        <f t="shared" si="17"/>
        <v>4.0273972602739728E-3</v>
      </c>
      <c r="AL55" s="200">
        <f t="shared" si="17"/>
        <v>3.2054794520547949E-3</v>
      </c>
      <c r="AM55" s="200">
        <f t="shared" si="17"/>
        <v>3.7808219178082198E-3</v>
      </c>
      <c r="AN55" s="200">
        <f t="shared" si="17"/>
        <v>5.0958904109589045E-3</v>
      </c>
      <c r="AO55" s="200">
        <f t="shared" si="17"/>
        <v>8.7945205479452067E-3</v>
      </c>
      <c r="AP55" s="200">
        <f t="shared" si="17"/>
        <v>1.1095890410958906E-2</v>
      </c>
      <c r="AQ55" s="257">
        <f t="shared" si="17"/>
        <v>1.3150684931506852E-2</v>
      </c>
    </row>
    <row r="56" spans="2:43" s="115" customFormat="1" x14ac:dyDescent="0.25">
      <c r="B56" s="247" t="s">
        <v>80</v>
      </c>
      <c r="C56" s="211">
        <f>ROUND(Kainos!E120,2)</f>
        <v>142.77000000000001</v>
      </c>
      <c r="D56" s="252">
        <f t="shared" ref="D56:AQ56" si="18">$C$56*D52</f>
        <v>38.723917808219191</v>
      </c>
      <c r="E56" s="253">
        <f t="shared" si="18"/>
        <v>39.154183561643841</v>
      </c>
      <c r="F56" s="253">
        <f t="shared" si="18"/>
        <v>39.584449315068504</v>
      </c>
      <c r="G56" s="254">
        <f t="shared" si="18"/>
        <v>39.584449315068504</v>
      </c>
      <c r="H56" s="203">
        <f t="shared" si="18"/>
        <v>15.15708904109589</v>
      </c>
      <c r="I56" s="196">
        <f t="shared" si="18"/>
        <v>13.690273972602743</v>
      </c>
      <c r="J56" s="196">
        <f t="shared" si="18"/>
        <v>15.15708904109589</v>
      </c>
      <c r="K56" s="196">
        <f t="shared" si="18"/>
        <v>14.668150684931508</v>
      </c>
      <c r="L56" s="196">
        <f t="shared" si="18"/>
        <v>15.15708904109589</v>
      </c>
      <c r="M56" s="196">
        <f t="shared" si="18"/>
        <v>14.668150684931508</v>
      </c>
      <c r="N56" s="196">
        <f t="shared" si="18"/>
        <v>15.15708904109589</v>
      </c>
      <c r="O56" s="196">
        <f t="shared" si="18"/>
        <v>15.15708904109589</v>
      </c>
      <c r="P56" s="196">
        <f t="shared" si="18"/>
        <v>14.668150684931508</v>
      </c>
      <c r="Q56" s="196">
        <f t="shared" si="18"/>
        <v>15.15708904109589</v>
      </c>
      <c r="R56" s="196">
        <f t="shared" si="18"/>
        <v>14.668150684931508</v>
      </c>
      <c r="S56" s="199">
        <f t="shared" si="18"/>
        <v>15.15708904109589</v>
      </c>
      <c r="T56" s="203">
        <f t="shared" si="18"/>
        <v>0.58672602739726043</v>
      </c>
      <c r="U56" s="196">
        <f t="shared" si="18"/>
        <v>0.58672602739726043</v>
      </c>
      <c r="V56" s="196">
        <f t="shared" si="18"/>
        <v>0.58672602739726043</v>
      </c>
      <c r="W56" s="196">
        <f t="shared" si="18"/>
        <v>0.58672602739726043</v>
      </c>
      <c r="X56" s="196">
        <f t="shared" si="18"/>
        <v>0.58672602739726043</v>
      </c>
      <c r="Y56" s="196">
        <f t="shared" si="18"/>
        <v>0.58672602739726043</v>
      </c>
      <c r="Z56" s="196">
        <f t="shared" si="18"/>
        <v>0.58672602739726043</v>
      </c>
      <c r="AA56" s="196">
        <f t="shared" si="18"/>
        <v>0.58672602739726043</v>
      </c>
      <c r="AB56" s="196">
        <f t="shared" si="18"/>
        <v>0.58672602739726043</v>
      </c>
      <c r="AC56" s="196">
        <f t="shared" si="18"/>
        <v>0.58672602739726043</v>
      </c>
      <c r="AD56" s="196">
        <f t="shared" si="18"/>
        <v>0.58672602739726043</v>
      </c>
      <c r="AE56" s="199">
        <f t="shared" si="18"/>
        <v>0.58672602739726043</v>
      </c>
      <c r="AF56" s="201">
        <f t="shared" si="18"/>
        <v>0.58672602739726043</v>
      </c>
      <c r="AG56" s="196">
        <f t="shared" si="18"/>
        <v>0.58672602739726043</v>
      </c>
      <c r="AH56" s="196">
        <f t="shared" si="18"/>
        <v>0.58672602739726043</v>
      </c>
      <c r="AI56" s="196">
        <f t="shared" si="18"/>
        <v>0.58672602739726043</v>
      </c>
      <c r="AJ56" s="196">
        <f t="shared" si="18"/>
        <v>0.58672602739726043</v>
      </c>
      <c r="AK56" s="196">
        <f t="shared" si="18"/>
        <v>0.58672602739726043</v>
      </c>
      <c r="AL56" s="196">
        <f t="shared" si="18"/>
        <v>0.58672602739726043</v>
      </c>
      <c r="AM56" s="196">
        <f t="shared" si="18"/>
        <v>0.58672602739726043</v>
      </c>
      <c r="AN56" s="196">
        <f t="shared" si="18"/>
        <v>0.58672602739726043</v>
      </c>
      <c r="AO56" s="196">
        <f t="shared" si="18"/>
        <v>0.58672602739726043</v>
      </c>
      <c r="AP56" s="196">
        <f t="shared" si="18"/>
        <v>0.58672602739726043</v>
      </c>
      <c r="AQ56" s="258">
        <f t="shared" si="18"/>
        <v>0.58672602739726043</v>
      </c>
    </row>
    <row r="57" spans="2:43" s="115" customFormat="1" x14ac:dyDescent="0.25">
      <c r="B57" s="247" t="s">
        <v>81</v>
      </c>
      <c r="C57" s="211">
        <f>ROUND(Kainos!E122,2)</f>
        <v>35.96</v>
      </c>
      <c r="D57" s="203">
        <f t="shared" ref="D57:AQ57" si="19">$C$57*D52</f>
        <v>9.7535342465753452</v>
      </c>
      <c r="E57" s="196">
        <f t="shared" si="19"/>
        <v>9.8619068493150692</v>
      </c>
      <c r="F57" s="196">
        <f t="shared" si="19"/>
        <v>9.9702794520547968</v>
      </c>
      <c r="G57" s="199">
        <f t="shared" si="19"/>
        <v>9.9702794520547968</v>
      </c>
      <c r="H57" s="203">
        <f t="shared" si="19"/>
        <v>3.8176712328767124</v>
      </c>
      <c r="I57" s="196">
        <f t="shared" si="19"/>
        <v>3.448219178082192</v>
      </c>
      <c r="J57" s="196">
        <f t="shared" si="19"/>
        <v>3.8176712328767124</v>
      </c>
      <c r="K57" s="196">
        <f t="shared" si="19"/>
        <v>3.6945205479452055</v>
      </c>
      <c r="L57" s="196">
        <f t="shared" si="19"/>
        <v>3.8176712328767124</v>
      </c>
      <c r="M57" s="196">
        <f t="shared" si="19"/>
        <v>3.6945205479452055</v>
      </c>
      <c r="N57" s="196">
        <f t="shared" si="19"/>
        <v>3.8176712328767124</v>
      </c>
      <c r="O57" s="196">
        <f t="shared" si="19"/>
        <v>3.8176712328767124</v>
      </c>
      <c r="P57" s="196">
        <f t="shared" si="19"/>
        <v>3.6945205479452055</v>
      </c>
      <c r="Q57" s="196">
        <f t="shared" si="19"/>
        <v>3.8176712328767124</v>
      </c>
      <c r="R57" s="196">
        <f t="shared" si="19"/>
        <v>3.6945205479452055</v>
      </c>
      <c r="S57" s="199">
        <f t="shared" si="19"/>
        <v>3.8176712328767124</v>
      </c>
      <c r="T57" s="203">
        <f t="shared" si="19"/>
        <v>0.14778082191780825</v>
      </c>
      <c r="U57" s="196">
        <f t="shared" si="19"/>
        <v>0.14778082191780825</v>
      </c>
      <c r="V57" s="196">
        <f t="shared" si="19"/>
        <v>0.14778082191780825</v>
      </c>
      <c r="W57" s="196">
        <f t="shared" si="19"/>
        <v>0.14778082191780825</v>
      </c>
      <c r="X57" s="196">
        <f t="shared" si="19"/>
        <v>0.14778082191780825</v>
      </c>
      <c r="Y57" s="196">
        <f t="shared" si="19"/>
        <v>0.14778082191780825</v>
      </c>
      <c r="Z57" s="196">
        <f t="shared" si="19"/>
        <v>0.14778082191780825</v>
      </c>
      <c r="AA57" s="196">
        <f t="shared" si="19"/>
        <v>0.14778082191780825</v>
      </c>
      <c r="AB57" s="196">
        <f t="shared" si="19"/>
        <v>0.14778082191780825</v>
      </c>
      <c r="AC57" s="196">
        <f t="shared" si="19"/>
        <v>0.14778082191780825</v>
      </c>
      <c r="AD57" s="196">
        <f t="shared" si="19"/>
        <v>0.14778082191780825</v>
      </c>
      <c r="AE57" s="199">
        <f t="shared" si="19"/>
        <v>0.14778082191780825</v>
      </c>
      <c r="AF57" s="201">
        <f t="shared" si="19"/>
        <v>0.14778082191780825</v>
      </c>
      <c r="AG57" s="196">
        <f t="shared" si="19"/>
        <v>0.14778082191780825</v>
      </c>
      <c r="AH57" s="196">
        <f t="shared" si="19"/>
        <v>0.14778082191780825</v>
      </c>
      <c r="AI57" s="196">
        <f t="shared" si="19"/>
        <v>0.14778082191780825</v>
      </c>
      <c r="AJ57" s="196">
        <f t="shared" si="19"/>
        <v>0.14778082191780825</v>
      </c>
      <c r="AK57" s="196">
        <f t="shared" si="19"/>
        <v>0.14778082191780825</v>
      </c>
      <c r="AL57" s="196">
        <f t="shared" si="19"/>
        <v>0.14778082191780825</v>
      </c>
      <c r="AM57" s="196">
        <f t="shared" si="19"/>
        <v>0.14778082191780825</v>
      </c>
      <c r="AN57" s="196">
        <f t="shared" si="19"/>
        <v>0.14778082191780825</v>
      </c>
      <c r="AO57" s="196">
        <f t="shared" si="19"/>
        <v>0.14778082191780825</v>
      </c>
      <c r="AP57" s="196">
        <f t="shared" si="19"/>
        <v>0.14778082191780825</v>
      </c>
      <c r="AQ57" s="258">
        <f t="shared" si="19"/>
        <v>0.14778082191780825</v>
      </c>
    </row>
    <row r="58" spans="2:43" s="115" customFormat="1" x14ac:dyDescent="0.25">
      <c r="B58" s="247" t="s">
        <v>82</v>
      </c>
      <c r="C58" s="211">
        <f>ROUND(Kainos!E123,2)</f>
        <v>142.77000000000001</v>
      </c>
      <c r="D58" s="203">
        <f t="shared" ref="D58:AQ58" si="20">$C$58*D52</f>
        <v>38.723917808219191</v>
      </c>
      <c r="E58" s="196">
        <f t="shared" si="20"/>
        <v>39.154183561643841</v>
      </c>
      <c r="F58" s="196">
        <f t="shared" si="20"/>
        <v>39.584449315068504</v>
      </c>
      <c r="G58" s="199">
        <f t="shared" si="20"/>
        <v>39.584449315068504</v>
      </c>
      <c r="H58" s="203">
        <f t="shared" si="20"/>
        <v>15.15708904109589</v>
      </c>
      <c r="I58" s="196">
        <f t="shared" si="20"/>
        <v>13.690273972602743</v>
      </c>
      <c r="J58" s="196">
        <f t="shared" si="20"/>
        <v>15.15708904109589</v>
      </c>
      <c r="K58" s="196">
        <f t="shared" si="20"/>
        <v>14.668150684931508</v>
      </c>
      <c r="L58" s="196">
        <f t="shared" si="20"/>
        <v>15.15708904109589</v>
      </c>
      <c r="M58" s="196">
        <f t="shared" si="20"/>
        <v>14.668150684931508</v>
      </c>
      <c r="N58" s="196">
        <f t="shared" si="20"/>
        <v>15.15708904109589</v>
      </c>
      <c r="O58" s="196">
        <f t="shared" si="20"/>
        <v>15.15708904109589</v>
      </c>
      <c r="P58" s="196">
        <f t="shared" si="20"/>
        <v>14.668150684931508</v>
      </c>
      <c r="Q58" s="196">
        <f t="shared" si="20"/>
        <v>15.15708904109589</v>
      </c>
      <c r="R58" s="196">
        <f t="shared" si="20"/>
        <v>14.668150684931508</v>
      </c>
      <c r="S58" s="199">
        <f t="shared" si="20"/>
        <v>15.15708904109589</v>
      </c>
      <c r="T58" s="203">
        <f t="shared" si="20"/>
        <v>0.58672602739726043</v>
      </c>
      <c r="U58" s="196">
        <f t="shared" si="20"/>
        <v>0.58672602739726043</v>
      </c>
      <c r="V58" s="196">
        <f t="shared" si="20"/>
        <v>0.58672602739726043</v>
      </c>
      <c r="W58" s="196">
        <f t="shared" si="20"/>
        <v>0.58672602739726043</v>
      </c>
      <c r="X58" s="196">
        <f t="shared" si="20"/>
        <v>0.58672602739726043</v>
      </c>
      <c r="Y58" s="196">
        <f t="shared" si="20"/>
        <v>0.58672602739726043</v>
      </c>
      <c r="Z58" s="196">
        <f t="shared" si="20"/>
        <v>0.58672602739726043</v>
      </c>
      <c r="AA58" s="196">
        <f t="shared" si="20"/>
        <v>0.58672602739726043</v>
      </c>
      <c r="AB58" s="196">
        <f t="shared" si="20"/>
        <v>0.58672602739726043</v>
      </c>
      <c r="AC58" s="196">
        <f t="shared" si="20"/>
        <v>0.58672602739726043</v>
      </c>
      <c r="AD58" s="196">
        <f t="shared" si="20"/>
        <v>0.58672602739726043</v>
      </c>
      <c r="AE58" s="199">
        <f t="shared" si="20"/>
        <v>0.58672602739726043</v>
      </c>
      <c r="AF58" s="201">
        <f t="shared" si="20"/>
        <v>0.58672602739726043</v>
      </c>
      <c r="AG58" s="196">
        <f t="shared" si="20"/>
        <v>0.58672602739726043</v>
      </c>
      <c r="AH58" s="196">
        <f t="shared" si="20"/>
        <v>0.58672602739726043</v>
      </c>
      <c r="AI58" s="196">
        <f t="shared" si="20"/>
        <v>0.58672602739726043</v>
      </c>
      <c r="AJ58" s="196">
        <f t="shared" si="20"/>
        <v>0.58672602739726043</v>
      </c>
      <c r="AK58" s="196">
        <f t="shared" si="20"/>
        <v>0.58672602739726043</v>
      </c>
      <c r="AL58" s="196">
        <f t="shared" si="20"/>
        <v>0.58672602739726043</v>
      </c>
      <c r="AM58" s="196">
        <f t="shared" si="20"/>
        <v>0.58672602739726043</v>
      </c>
      <c r="AN58" s="196">
        <f t="shared" si="20"/>
        <v>0.58672602739726043</v>
      </c>
      <c r="AO58" s="196">
        <f t="shared" si="20"/>
        <v>0.58672602739726043</v>
      </c>
      <c r="AP58" s="196">
        <f t="shared" si="20"/>
        <v>0.58672602739726043</v>
      </c>
      <c r="AQ58" s="258">
        <f t="shared" si="20"/>
        <v>0.58672602739726043</v>
      </c>
    </row>
    <row r="59" spans="2:43" s="115" customFormat="1" x14ac:dyDescent="0.25">
      <c r="B59" s="247" t="s">
        <v>83</v>
      </c>
      <c r="C59" s="211">
        <f>ROUND(Kainos!E124,2)</f>
        <v>142.77000000000001</v>
      </c>
      <c r="D59" s="203">
        <f t="shared" ref="D59:AQ59" si="21">$C$59*D52</f>
        <v>38.723917808219191</v>
      </c>
      <c r="E59" s="196">
        <f t="shared" si="21"/>
        <v>39.154183561643841</v>
      </c>
      <c r="F59" s="196">
        <f t="shared" si="21"/>
        <v>39.584449315068504</v>
      </c>
      <c r="G59" s="199">
        <f t="shared" si="21"/>
        <v>39.584449315068504</v>
      </c>
      <c r="H59" s="203">
        <f t="shared" si="21"/>
        <v>15.15708904109589</v>
      </c>
      <c r="I59" s="196">
        <f t="shared" si="21"/>
        <v>13.690273972602743</v>
      </c>
      <c r="J59" s="196">
        <f t="shared" si="21"/>
        <v>15.15708904109589</v>
      </c>
      <c r="K59" s="196">
        <f t="shared" si="21"/>
        <v>14.668150684931508</v>
      </c>
      <c r="L59" s="196">
        <f t="shared" si="21"/>
        <v>15.15708904109589</v>
      </c>
      <c r="M59" s="196">
        <f t="shared" si="21"/>
        <v>14.668150684931508</v>
      </c>
      <c r="N59" s="196">
        <f t="shared" si="21"/>
        <v>15.15708904109589</v>
      </c>
      <c r="O59" s="196">
        <f t="shared" si="21"/>
        <v>15.15708904109589</v>
      </c>
      <c r="P59" s="196">
        <f t="shared" si="21"/>
        <v>14.668150684931508</v>
      </c>
      <c r="Q59" s="196">
        <f t="shared" si="21"/>
        <v>15.15708904109589</v>
      </c>
      <c r="R59" s="196">
        <f t="shared" si="21"/>
        <v>14.668150684931508</v>
      </c>
      <c r="S59" s="199">
        <f t="shared" si="21"/>
        <v>15.15708904109589</v>
      </c>
      <c r="T59" s="203">
        <f t="shared" si="21"/>
        <v>0.58672602739726043</v>
      </c>
      <c r="U59" s="196">
        <f t="shared" si="21"/>
        <v>0.58672602739726043</v>
      </c>
      <c r="V59" s="196">
        <f t="shared" si="21"/>
        <v>0.58672602739726043</v>
      </c>
      <c r="W59" s="196">
        <f t="shared" si="21"/>
        <v>0.58672602739726043</v>
      </c>
      <c r="X59" s="196">
        <f t="shared" si="21"/>
        <v>0.58672602739726043</v>
      </c>
      <c r="Y59" s="196">
        <f t="shared" si="21"/>
        <v>0.58672602739726043</v>
      </c>
      <c r="Z59" s="196">
        <f t="shared" si="21"/>
        <v>0.58672602739726043</v>
      </c>
      <c r="AA59" s="196">
        <f t="shared" si="21"/>
        <v>0.58672602739726043</v>
      </c>
      <c r="AB59" s="196">
        <f t="shared" si="21"/>
        <v>0.58672602739726043</v>
      </c>
      <c r="AC59" s="196">
        <f t="shared" si="21"/>
        <v>0.58672602739726043</v>
      </c>
      <c r="AD59" s="196">
        <f t="shared" si="21"/>
        <v>0.58672602739726043</v>
      </c>
      <c r="AE59" s="199">
        <f t="shared" si="21"/>
        <v>0.58672602739726043</v>
      </c>
      <c r="AF59" s="201">
        <f t="shared" si="21"/>
        <v>0.58672602739726043</v>
      </c>
      <c r="AG59" s="196">
        <f t="shared" si="21"/>
        <v>0.58672602739726043</v>
      </c>
      <c r="AH59" s="196">
        <f t="shared" si="21"/>
        <v>0.58672602739726043</v>
      </c>
      <c r="AI59" s="196">
        <f t="shared" si="21"/>
        <v>0.58672602739726043</v>
      </c>
      <c r="AJ59" s="196">
        <f t="shared" si="21"/>
        <v>0.58672602739726043</v>
      </c>
      <c r="AK59" s="196">
        <f t="shared" si="21"/>
        <v>0.58672602739726043</v>
      </c>
      <c r="AL59" s="196">
        <f t="shared" si="21"/>
        <v>0.58672602739726043</v>
      </c>
      <c r="AM59" s="196">
        <f t="shared" si="21"/>
        <v>0.58672602739726043</v>
      </c>
      <c r="AN59" s="196">
        <f t="shared" si="21"/>
        <v>0.58672602739726043</v>
      </c>
      <c r="AO59" s="196">
        <f t="shared" si="21"/>
        <v>0.58672602739726043</v>
      </c>
      <c r="AP59" s="196">
        <f t="shared" si="21"/>
        <v>0.58672602739726043</v>
      </c>
      <c r="AQ59" s="258">
        <f t="shared" si="21"/>
        <v>0.58672602739726043</v>
      </c>
    </row>
    <row r="60" spans="2:43" s="115" customFormat="1" x14ac:dyDescent="0.25">
      <c r="B60" s="247" t="s">
        <v>149</v>
      </c>
      <c r="C60" s="211">
        <f>ROUND(Kainos!E125,2)</f>
        <v>142.77000000000001</v>
      </c>
      <c r="D60" s="203">
        <f t="shared" ref="D60:AQ60" si="22">$C$60*D52</f>
        <v>38.723917808219191</v>
      </c>
      <c r="E60" s="196">
        <f t="shared" si="22"/>
        <v>39.154183561643841</v>
      </c>
      <c r="F60" s="196">
        <f t="shared" si="22"/>
        <v>39.584449315068504</v>
      </c>
      <c r="G60" s="199">
        <f t="shared" si="22"/>
        <v>39.584449315068504</v>
      </c>
      <c r="H60" s="203">
        <f t="shared" si="22"/>
        <v>15.15708904109589</v>
      </c>
      <c r="I60" s="196">
        <f t="shared" si="22"/>
        <v>13.690273972602743</v>
      </c>
      <c r="J60" s="196">
        <f t="shared" si="22"/>
        <v>15.15708904109589</v>
      </c>
      <c r="K60" s="196">
        <f t="shared" si="22"/>
        <v>14.668150684931508</v>
      </c>
      <c r="L60" s="196">
        <f t="shared" si="22"/>
        <v>15.15708904109589</v>
      </c>
      <c r="M60" s="196">
        <f t="shared" si="22"/>
        <v>14.668150684931508</v>
      </c>
      <c r="N60" s="196">
        <f t="shared" si="22"/>
        <v>15.15708904109589</v>
      </c>
      <c r="O60" s="196">
        <f t="shared" si="22"/>
        <v>15.15708904109589</v>
      </c>
      <c r="P60" s="196">
        <f t="shared" si="22"/>
        <v>14.668150684931508</v>
      </c>
      <c r="Q60" s="196">
        <f t="shared" si="22"/>
        <v>15.15708904109589</v>
      </c>
      <c r="R60" s="196">
        <f t="shared" si="22"/>
        <v>14.668150684931508</v>
      </c>
      <c r="S60" s="199">
        <f t="shared" si="22"/>
        <v>15.15708904109589</v>
      </c>
      <c r="T60" s="203">
        <f t="shared" si="22"/>
        <v>0.58672602739726043</v>
      </c>
      <c r="U60" s="196">
        <f t="shared" si="22"/>
        <v>0.58672602739726043</v>
      </c>
      <c r="V60" s="196">
        <f t="shared" si="22"/>
        <v>0.58672602739726043</v>
      </c>
      <c r="W60" s="196">
        <f t="shared" si="22"/>
        <v>0.58672602739726043</v>
      </c>
      <c r="X60" s="196">
        <f t="shared" si="22"/>
        <v>0.58672602739726043</v>
      </c>
      <c r="Y60" s="196">
        <f t="shared" si="22"/>
        <v>0.58672602739726043</v>
      </c>
      <c r="Z60" s="196">
        <f t="shared" si="22"/>
        <v>0.58672602739726043</v>
      </c>
      <c r="AA60" s="196">
        <f t="shared" si="22"/>
        <v>0.58672602739726043</v>
      </c>
      <c r="AB60" s="196">
        <f t="shared" si="22"/>
        <v>0.58672602739726043</v>
      </c>
      <c r="AC60" s="196">
        <f t="shared" si="22"/>
        <v>0.58672602739726043</v>
      </c>
      <c r="AD60" s="196">
        <f t="shared" si="22"/>
        <v>0.58672602739726043</v>
      </c>
      <c r="AE60" s="199">
        <f t="shared" si="22"/>
        <v>0.58672602739726043</v>
      </c>
      <c r="AF60" s="201">
        <f t="shared" si="22"/>
        <v>0.58672602739726043</v>
      </c>
      <c r="AG60" s="196">
        <f t="shared" si="22"/>
        <v>0.58672602739726043</v>
      </c>
      <c r="AH60" s="196">
        <f t="shared" si="22"/>
        <v>0.58672602739726043</v>
      </c>
      <c r="AI60" s="196">
        <f t="shared" si="22"/>
        <v>0.58672602739726043</v>
      </c>
      <c r="AJ60" s="196">
        <f t="shared" si="22"/>
        <v>0.58672602739726043</v>
      </c>
      <c r="AK60" s="196">
        <f t="shared" si="22"/>
        <v>0.58672602739726043</v>
      </c>
      <c r="AL60" s="196">
        <f t="shared" si="22"/>
        <v>0.58672602739726043</v>
      </c>
      <c r="AM60" s="196">
        <f t="shared" si="22"/>
        <v>0.58672602739726043</v>
      </c>
      <c r="AN60" s="196">
        <f t="shared" si="22"/>
        <v>0.58672602739726043</v>
      </c>
      <c r="AO60" s="196">
        <f t="shared" si="22"/>
        <v>0.58672602739726043</v>
      </c>
      <c r="AP60" s="196">
        <f t="shared" si="22"/>
        <v>0.58672602739726043</v>
      </c>
      <c r="AQ60" s="258">
        <f t="shared" si="22"/>
        <v>0.58672602739726043</v>
      </c>
    </row>
    <row r="61" spans="2:43" s="115" customFormat="1" x14ac:dyDescent="0.25">
      <c r="B61" s="247" t="s">
        <v>84</v>
      </c>
      <c r="C61" s="211">
        <f>ROUND(Kainos!E126,2)</f>
        <v>116.66</v>
      </c>
      <c r="D61" s="203">
        <f t="shared" ref="D61:AQ61" si="23">+$C$61*D53</f>
        <v>31.642027397260279</v>
      </c>
      <c r="E61" s="196">
        <f t="shared" si="23"/>
        <v>31.993605479452057</v>
      </c>
      <c r="F61" s="196">
        <f t="shared" si="23"/>
        <v>32.345183561643836</v>
      </c>
      <c r="G61" s="199">
        <f t="shared" si="23"/>
        <v>32.345183561643836</v>
      </c>
      <c r="H61" s="203">
        <f t="shared" si="23"/>
        <v>12.385136986301369</v>
      </c>
      <c r="I61" s="196">
        <f t="shared" si="23"/>
        <v>11.186575342465755</v>
      </c>
      <c r="J61" s="196">
        <f t="shared" si="23"/>
        <v>12.385136986301369</v>
      </c>
      <c r="K61" s="196">
        <f t="shared" si="23"/>
        <v>11.985616438356164</v>
      </c>
      <c r="L61" s="196">
        <f t="shared" si="23"/>
        <v>12.385136986301369</v>
      </c>
      <c r="M61" s="196">
        <f t="shared" si="23"/>
        <v>11.985616438356164</v>
      </c>
      <c r="N61" s="196">
        <f t="shared" si="23"/>
        <v>12.385136986301369</v>
      </c>
      <c r="O61" s="196">
        <f t="shared" si="23"/>
        <v>12.385136986301369</v>
      </c>
      <c r="P61" s="196">
        <f t="shared" si="23"/>
        <v>11.985616438356164</v>
      </c>
      <c r="Q61" s="196">
        <f t="shared" si="23"/>
        <v>12.385136986301369</v>
      </c>
      <c r="R61" s="196">
        <f t="shared" si="23"/>
        <v>11.985616438356164</v>
      </c>
      <c r="S61" s="199">
        <f t="shared" si="23"/>
        <v>12.385136986301369</v>
      </c>
      <c r="T61" s="203">
        <f t="shared" si="23"/>
        <v>0.47942465753424662</v>
      </c>
      <c r="U61" s="196">
        <f t="shared" si="23"/>
        <v>0.47942465753424662</v>
      </c>
      <c r="V61" s="196">
        <f t="shared" si="23"/>
        <v>0.47942465753424662</v>
      </c>
      <c r="W61" s="196">
        <f t="shared" si="23"/>
        <v>0.47942465753424662</v>
      </c>
      <c r="X61" s="196">
        <f t="shared" si="23"/>
        <v>0.47942465753424662</v>
      </c>
      <c r="Y61" s="196">
        <f t="shared" si="23"/>
        <v>0.47942465753424662</v>
      </c>
      <c r="Z61" s="196">
        <f t="shared" si="23"/>
        <v>0.47942465753424662</v>
      </c>
      <c r="AA61" s="196">
        <f t="shared" si="23"/>
        <v>0.47942465753424662</v>
      </c>
      <c r="AB61" s="196">
        <f t="shared" si="23"/>
        <v>0.47942465753424662</v>
      </c>
      <c r="AC61" s="196">
        <f t="shared" si="23"/>
        <v>0.47942465753424662</v>
      </c>
      <c r="AD61" s="196">
        <f t="shared" si="23"/>
        <v>0.47942465753424662</v>
      </c>
      <c r="AE61" s="199">
        <f t="shared" si="23"/>
        <v>0.47942465753424662</v>
      </c>
      <c r="AF61" s="201">
        <f t="shared" si="23"/>
        <v>0.47942465753424662</v>
      </c>
      <c r="AG61" s="196">
        <f t="shared" si="23"/>
        <v>0.47942465753424662</v>
      </c>
      <c r="AH61" s="196">
        <f t="shared" si="23"/>
        <v>0.47942465753424662</v>
      </c>
      <c r="AI61" s="196">
        <f t="shared" si="23"/>
        <v>0.47942465753424662</v>
      </c>
      <c r="AJ61" s="196">
        <f t="shared" si="23"/>
        <v>0.47942465753424662</v>
      </c>
      <c r="AK61" s="196">
        <f t="shared" si="23"/>
        <v>0.47942465753424662</v>
      </c>
      <c r="AL61" s="196">
        <f t="shared" si="23"/>
        <v>0.47942465753424662</v>
      </c>
      <c r="AM61" s="196">
        <f t="shared" si="23"/>
        <v>0.47942465753424662</v>
      </c>
      <c r="AN61" s="196">
        <f t="shared" si="23"/>
        <v>0.47942465753424662</v>
      </c>
      <c r="AO61" s="196">
        <f t="shared" si="23"/>
        <v>0.47942465753424662</v>
      </c>
      <c r="AP61" s="196">
        <f t="shared" si="23"/>
        <v>0.47942465753424662</v>
      </c>
      <c r="AQ61" s="258">
        <f t="shared" si="23"/>
        <v>0.47942465753424662</v>
      </c>
    </row>
    <row r="62" spans="2:43" s="115" customFormat="1" x14ac:dyDescent="0.25">
      <c r="B62" s="247" t="s">
        <v>85</v>
      </c>
      <c r="C62" s="211">
        <f>ROUND(Kainos!E127,2)</f>
        <v>46.7</v>
      </c>
      <c r="D62" s="203">
        <f t="shared" ref="D62:AQ62" si="24">+$C$62*D54</f>
        <v>22.022568493150686</v>
      </c>
      <c r="E62" s="196">
        <f t="shared" si="24"/>
        <v>9.3144109589041122</v>
      </c>
      <c r="F62" s="196">
        <f t="shared" si="24"/>
        <v>7.2097123287671243</v>
      </c>
      <c r="G62" s="199">
        <f t="shared" si="24"/>
        <v>19.716356164383566</v>
      </c>
      <c r="H62" s="203">
        <f t="shared" si="24"/>
        <v>10.828002739726029</v>
      </c>
      <c r="I62" s="196">
        <f t="shared" si="24"/>
        <v>7.3619671232876716</v>
      </c>
      <c r="J62" s="196">
        <f t="shared" si="24"/>
        <v>8.3887273972602738</v>
      </c>
      <c r="K62" s="196">
        <f t="shared" si="24"/>
        <v>4.663602739726028</v>
      </c>
      <c r="L62" s="196">
        <f t="shared" si="24"/>
        <v>3.6291657534246582</v>
      </c>
      <c r="M62" s="196">
        <f t="shared" si="24"/>
        <v>2.821191780821918</v>
      </c>
      <c r="N62" s="196">
        <f t="shared" si="24"/>
        <v>2.3202863013698636</v>
      </c>
      <c r="O62" s="196">
        <f t="shared" si="24"/>
        <v>2.7367479452054795</v>
      </c>
      <c r="P62" s="196">
        <f t="shared" si="24"/>
        <v>3.5696712328767126</v>
      </c>
      <c r="Q62" s="196">
        <f t="shared" si="24"/>
        <v>6.3659136986301377</v>
      </c>
      <c r="R62" s="196">
        <f t="shared" si="24"/>
        <v>7.7726712328767134</v>
      </c>
      <c r="S62" s="199">
        <f t="shared" si="24"/>
        <v>9.5191232876712348</v>
      </c>
      <c r="T62" s="203">
        <f t="shared" si="24"/>
        <v>0.69858082191780835</v>
      </c>
      <c r="U62" s="196">
        <f t="shared" si="24"/>
        <v>0.52585479452054806</v>
      </c>
      <c r="V62" s="196">
        <f t="shared" si="24"/>
        <v>0.54120821917808226</v>
      </c>
      <c r="W62" s="196">
        <f t="shared" si="24"/>
        <v>0.31090684931506857</v>
      </c>
      <c r="X62" s="196">
        <f t="shared" si="24"/>
        <v>0.23413972602739727</v>
      </c>
      <c r="Y62" s="196">
        <f t="shared" si="24"/>
        <v>0.18807945205479454</v>
      </c>
      <c r="Z62" s="196">
        <f t="shared" si="24"/>
        <v>0.14969589041095893</v>
      </c>
      <c r="AA62" s="196">
        <f t="shared" si="24"/>
        <v>0.17656438356164386</v>
      </c>
      <c r="AB62" s="196">
        <f t="shared" si="24"/>
        <v>0.23797808219178085</v>
      </c>
      <c r="AC62" s="196">
        <f t="shared" si="24"/>
        <v>0.41070410958904119</v>
      </c>
      <c r="AD62" s="196">
        <f t="shared" si="24"/>
        <v>0.51817808219178096</v>
      </c>
      <c r="AE62" s="199">
        <f t="shared" si="24"/>
        <v>0.61413698630137004</v>
      </c>
      <c r="AF62" s="201">
        <f t="shared" si="24"/>
        <v>0.69858082191780835</v>
      </c>
      <c r="AG62" s="196">
        <f t="shared" si="24"/>
        <v>0.52585479452054806</v>
      </c>
      <c r="AH62" s="196">
        <f t="shared" si="24"/>
        <v>0.54120821917808226</v>
      </c>
      <c r="AI62" s="196">
        <f t="shared" si="24"/>
        <v>0.31090684931506857</v>
      </c>
      <c r="AJ62" s="196">
        <f t="shared" si="24"/>
        <v>0.23413972602739727</v>
      </c>
      <c r="AK62" s="196">
        <f t="shared" si="24"/>
        <v>0.18807945205479454</v>
      </c>
      <c r="AL62" s="196">
        <f t="shared" si="24"/>
        <v>0.14969589041095893</v>
      </c>
      <c r="AM62" s="196">
        <f t="shared" si="24"/>
        <v>0.17656438356164386</v>
      </c>
      <c r="AN62" s="196">
        <f t="shared" si="24"/>
        <v>0.23797808219178085</v>
      </c>
      <c r="AO62" s="196">
        <f t="shared" si="24"/>
        <v>0.41070410958904119</v>
      </c>
      <c r="AP62" s="196">
        <f t="shared" si="24"/>
        <v>0.51817808219178096</v>
      </c>
      <c r="AQ62" s="258">
        <f t="shared" si="24"/>
        <v>0.61413698630137004</v>
      </c>
    </row>
    <row r="63" spans="2:43" s="115" customFormat="1" x14ac:dyDescent="0.25">
      <c r="B63" s="247" t="s">
        <v>137</v>
      </c>
      <c r="C63" s="211">
        <f>ROUND(Kainos!E128,2)</f>
        <v>116.66</v>
      </c>
      <c r="D63" s="203">
        <f t="shared" ref="D63:AQ63" si="25">+$C$63*D53</f>
        <v>31.642027397260279</v>
      </c>
      <c r="E63" s="196">
        <f t="shared" si="25"/>
        <v>31.993605479452057</v>
      </c>
      <c r="F63" s="196">
        <f t="shared" si="25"/>
        <v>32.345183561643836</v>
      </c>
      <c r="G63" s="199">
        <f t="shared" si="25"/>
        <v>32.345183561643836</v>
      </c>
      <c r="H63" s="203">
        <f t="shared" si="25"/>
        <v>12.385136986301369</v>
      </c>
      <c r="I63" s="196">
        <f t="shared" si="25"/>
        <v>11.186575342465755</v>
      </c>
      <c r="J63" s="196">
        <f t="shared" si="25"/>
        <v>12.385136986301369</v>
      </c>
      <c r="K63" s="196">
        <f t="shared" si="25"/>
        <v>11.985616438356164</v>
      </c>
      <c r="L63" s="196">
        <f t="shared" si="25"/>
        <v>12.385136986301369</v>
      </c>
      <c r="M63" s="196">
        <f t="shared" si="25"/>
        <v>11.985616438356164</v>
      </c>
      <c r="N63" s="196">
        <f t="shared" si="25"/>
        <v>12.385136986301369</v>
      </c>
      <c r="O63" s="196">
        <f t="shared" si="25"/>
        <v>12.385136986301369</v>
      </c>
      <c r="P63" s="196">
        <f t="shared" si="25"/>
        <v>11.985616438356164</v>
      </c>
      <c r="Q63" s="196">
        <f t="shared" si="25"/>
        <v>12.385136986301369</v>
      </c>
      <c r="R63" s="196">
        <f t="shared" si="25"/>
        <v>11.985616438356164</v>
      </c>
      <c r="S63" s="199">
        <f t="shared" si="25"/>
        <v>12.385136986301369</v>
      </c>
      <c r="T63" s="203">
        <f t="shared" si="25"/>
        <v>0.47942465753424662</v>
      </c>
      <c r="U63" s="196">
        <f t="shared" si="25"/>
        <v>0.47942465753424662</v>
      </c>
      <c r="V63" s="196">
        <f t="shared" si="25"/>
        <v>0.47942465753424662</v>
      </c>
      <c r="W63" s="196">
        <f t="shared" si="25"/>
        <v>0.47942465753424662</v>
      </c>
      <c r="X63" s="196">
        <f t="shared" si="25"/>
        <v>0.47942465753424662</v>
      </c>
      <c r="Y63" s="196">
        <f t="shared" si="25"/>
        <v>0.47942465753424662</v>
      </c>
      <c r="Z63" s="196">
        <f t="shared" si="25"/>
        <v>0.47942465753424662</v>
      </c>
      <c r="AA63" s="196">
        <f t="shared" si="25"/>
        <v>0.47942465753424662</v>
      </c>
      <c r="AB63" s="196">
        <f t="shared" si="25"/>
        <v>0.47942465753424662</v>
      </c>
      <c r="AC63" s="196">
        <f t="shared" si="25"/>
        <v>0.47942465753424662</v>
      </c>
      <c r="AD63" s="196">
        <f t="shared" si="25"/>
        <v>0.47942465753424662</v>
      </c>
      <c r="AE63" s="199">
        <f t="shared" si="25"/>
        <v>0.47942465753424662</v>
      </c>
      <c r="AF63" s="201">
        <f t="shared" si="25"/>
        <v>0.47942465753424662</v>
      </c>
      <c r="AG63" s="196">
        <f t="shared" si="25"/>
        <v>0.47942465753424662</v>
      </c>
      <c r="AH63" s="196">
        <f t="shared" si="25"/>
        <v>0.47942465753424662</v>
      </c>
      <c r="AI63" s="196">
        <f t="shared" si="25"/>
        <v>0.47942465753424662</v>
      </c>
      <c r="AJ63" s="196">
        <f t="shared" si="25"/>
        <v>0.47942465753424662</v>
      </c>
      <c r="AK63" s="196">
        <f t="shared" si="25"/>
        <v>0.47942465753424662</v>
      </c>
      <c r="AL63" s="196">
        <f t="shared" si="25"/>
        <v>0.47942465753424662</v>
      </c>
      <c r="AM63" s="196">
        <f t="shared" si="25"/>
        <v>0.47942465753424662</v>
      </c>
      <c r="AN63" s="196">
        <f t="shared" si="25"/>
        <v>0.47942465753424662</v>
      </c>
      <c r="AO63" s="196">
        <f t="shared" si="25"/>
        <v>0.47942465753424662</v>
      </c>
      <c r="AP63" s="196">
        <f t="shared" si="25"/>
        <v>0.47942465753424662</v>
      </c>
      <c r="AQ63" s="258">
        <f t="shared" si="25"/>
        <v>0.47942465753424662</v>
      </c>
    </row>
    <row r="64" spans="2:43" s="115" customFormat="1" x14ac:dyDescent="0.25">
      <c r="B64" s="247" t="s">
        <v>86</v>
      </c>
      <c r="C64" s="211">
        <f>ROUND(Kainos!E132,2)</f>
        <v>100.86</v>
      </c>
      <c r="D64" s="203">
        <f t="shared" ref="D64:AQ64" si="26">+$C$64*D55</f>
        <v>47.563089041095893</v>
      </c>
      <c r="E64" s="196">
        <f t="shared" si="26"/>
        <v>20.116734246575344</v>
      </c>
      <c r="F64" s="196">
        <f t="shared" si="26"/>
        <v>15.571126027397261</v>
      </c>
      <c r="G64" s="199">
        <f t="shared" si="26"/>
        <v>42.582263013698636</v>
      </c>
      <c r="H64" s="203">
        <f t="shared" si="26"/>
        <v>23.385703561643837</v>
      </c>
      <c r="I64" s="196">
        <f t="shared" si="26"/>
        <v>15.899957260273972</v>
      </c>
      <c r="J64" s="196">
        <f t="shared" si="26"/>
        <v>18.117495616438354</v>
      </c>
      <c r="K64" s="196">
        <f t="shared" si="26"/>
        <v>10.072183561643836</v>
      </c>
      <c r="L64" s="196">
        <f t="shared" si="26"/>
        <v>7.8380654794520552</v>
      </c>
      <c r="M64" s="196">
        <f t="shared" si="26"/>
        <v>6.0930493150684928</v>
      </c>
      <c r="N64" s="196">
        <f t="shared" si="26"/>
        <v>5.0112221917808224</v>
      </c>
      <c r="O64" s="196">
        <f t="shared" si="26"/>
        <v>5.9106723287671237</v>
      </c>
      <c r="P64" s="196">
        <f t="shared" si="26"/>
        <v>7.7095726027397262</v>
      </c>
      <c r="Q64" s="196">
        <f t="shared" si="26"/>
        <v>13.748737808219179</v>
      </c>
      <c r="R64" s="196">
        <f t="shared" si="26"/>
        <v>16.786972602739727</v>
      </c>
      <c r="S64" s="199">
        <f t="shared" si="26"/>
        <v>20.558860273972606</v>
      </c>
      <c r="T64" s="203">
        <f t="shared" si="26"/>
        <v>1.5087550684931508</v>
      </c>
      <c r="U64" s="196">
        <f t="shared" si="26"/>
        <v>1.1357112328767127</v>
      </c>
      <c r="V64" s="196">
        <f t="shared" si="26"/>
        <v>1.1688706849315069</v>
      </c>
      <c r="W64" s="196">
        <f t="shared" si="26"/>
        <v>0.67147890410958921</v>
      </c>
      <c r="X64" s="196">
        <f t="shared" si="26"/>
        <v>0.50568164383561642</v>
      </c>
      <c r="Y64" s="196">
        <f t="shared" si="26"/>
        <v>0.40620328767123287</v>
      </c>
      <c r="Z64" s="196">
        <f t="shared" si="26"/>
        <v>0.32330465753424659</v>
      </c>
      <c r="AA64" s="196">
        <f t="shared" si="26"/>
        <v>0.38133369863013705</v>
      </c>
      <c r="AB64" s="196">
        <f t="shared" si="26"/>
        <v>0.51397150684931514</v>
      </c>
      <c r="AC64" s="196">
        <f t="shared" si="26"/>
        <v>0.88701534246575353</v>
      </c>
      <c r="AD64" s="196">
        <f t="shared" si="26"/>
        <v>1.1191315068493153</v>
      </c>
      <c r="AE64" s="199">
        <f t="shared" si="26"/>
        <v>1.326378082191781</v>
      </c>
      <c r="AF64" s="201">
        <f t="shared" si="26"/>
        <v>1.5087550684931508</v>
      </c>
      <c r="AG64" s="196">
        <f t="shared" si="26"/>
        <v>1.1357112328767127</v>
      </c>
      <c r="AH64" s="196">
        <f t="shared" si="26"/>
        <v>1.1688706849315069</v>
      </c>
      <c r="AI64" s="196">
        <f t="shared" si="26"/>
        <v>0.67147890410958921</v>
      </c>
      <c r="AJ64" s="196">
        <f t="shared" si="26"/>
        <v>0.50568164383561642</v>
      </c>
      <c r="AK64" s="196">
        <f t="shared" si="26"/>
        <v>0.40620328767123287</v>
      </c>
      <c r="AL64" s="196">
        <f t="shared" si="26"/>
        <v>0.32330465753424659</v>
      </c>
      <c r="AM64" s="196">
        <f t="shared" si="26"/>
        <v>0.38133369863013705</v>
      </c>
      <c r="AN64" s="196">
        <f t="shared" si="26"/>
        <v>0.51397150684931514</v>
      </c>
      <c r="AO64" s="196">
        <f t="shared" si="26"/>
        <v>0.88701534246575353</v>
      </c>
      <c r="AP64" s="196">
        <f t="shared" si="26"/>
        <v>1.1191315068493153</v>
      </c>
      <c r="AQ64" s="258">
        <f t="shared" si="26"/>
        <v>1.326378082191781</v>
      </c>
    </row>
    <row r="65" spans="2:43" s="115" customFormat="1" x14ac:dyDescent="0.25">
      <c r="B65" s="247" t="s">
        <v>147</v>
      </c>
      <c r="C65" s="212">
        <f>ROUND(Kainos!E133,2)</f>
        <v>46.37</v>
      </c>
      <c r="D65" s="204">
        <f t="shared" ref="D65:AQ65" si="27">+$C$65*D55</f>
        <v>21.866948630136985</v>
      </c>
      <c r="E65" s="205">
        <f t="shared" si="27"/>
        <v>9.2485917808219185</v>
      </c>
      <c r="F65" s="205">
        <f t="shared" si="27"/>
        <v>7.1587657534246576</v>
      </c>
      <c r="G65" s="206">
        <f t="shared" si="27"/>
        <v>19.57703287671233</v>
      </c>
      <c r="H65" s="204">
        <f t="shared" si="27"/>
        <v>10.751487945205479</v>
      </c>
      <c r="I65" s="205">
        <f t="shared" si="27"/>
        <v>7.3099446575342464</v>
      </c>
      <c r="J65" s="205">
        <f t="shared" si="27"/>
        <v>8.3294494520547939</v>
      </c>
      <c r="K65" s="205">
        <f t="shared" si="27"/>
        <v>4.630647945205479</v>
      </c>
      <c r="L65" s="205">
        <f t="shared" si="27"/>
        <v>3.6035206849315067</v>
      </c>
      <c r="M65" s="205">
        <f t="shared" si="27"/>
        <v>2.8012561643835614</v>
      </c>
      <c r="N65" s="205">
        <f t="shared" si="27"/>
        <v>2.3038902739726028</v>
      </c>
      <c r="O65" s="205">
        <f t="shared" si="27"/>
        <v>2.7174090410958902</v>
      </c>
      <c r="P65" s="205">
        <f t="shared" si="27"/>
        <v>3.5444465753424654</v>
      </c>
      <c r="Q65" s="205">
        <f t="shared" si="27"/>
        <v>6.3209297260273978</v>
      </c>
      <c r="R65" s="205">
        <f t="shared" si="27"/>
        <v>7.7177465753424661</v>
      </c>
      <c r="S65" s="206">
        <f t="shared" si="27"/>
        <v>9.4518575342465763</v>
      </c>
      <c r="T65" s="204">
        <f t="shared" si="27"/>
        <v>0.69364438356164393</v>
      </c>
      <c r="U65" s="205">
        <f t="shared" si="27"/>
        <v>0.52213890410958919</v>
      </c>
      <c r="V65" s="205">
        <f t="shared" si="27"/>
        <v>0.53738383561643832</v>
      </c>
      <c r="W65" s="205">
        <f t="shared" si="27"/>
        <v>0.30870986301369868</v>
      </c>
      <c r="X65" s="205">
        <f t="shared" si="27"/>
        <v>0.23248520547945206</v>
      </c>
      <c r="Y65" s="205">
        <f t="shared" si="27"/>
        <v>0.1867504109589041</v>
      </c>
      <c r="Z65" s="205">
        <f t="shared" si="27"/>
        <v>0.14863808219178082</v>
      </c>
      <c r="AA65" s="205">
        <f t="shared" si="27"/>
        <v>0.17531671232876714</v>
      </c>
      <c r="AB65" s="205">
        <f t="shared" si="27"/>
        <v>0.2362964383561644</v>
      </c>
      <c r="AC65" s="205">
        <f t="shared" si="27"/>
        <v>0.40780191780821923</v>
      </c>
      <c r="AD65" s="205">
        <f t="shared" si="27"/>
        <v>0.51451643835616445</v>
      </c>
      <c r="AE65" s="206">
        <f t="shared" si="27"/>
        <v>0.60979726027397274</v>
      </c>
      <c r="AF65" s="207">
        <f t="shared" si="27"/>
        <v>0.69364438356164393</v>
      </c>
      <c r="AG65" s="205">
        <f t="shared" si="27"/>
        <v>0.52213890410958919</v>
      </c>
      <c r="AH65" s="205">
        <f t="shared" si="27"/>
        <v>0.53738383561643832</v>
      </c>
      <c r="AI65" s="205">
        <f t="shared" si="27"/>
        <v>0.30870986301369868</v>
      </c>
      <c r="AJ65" s="205">
        <f t="shared" si="27"/>
        <v>0.23248520547945206</v>
      </c>
      <c r="AK65" s="205">
        <f t="shared" si="27"/>
        <v>0.1867504109589041</v>
      </c>
      <c r="AL65" s="205">
        <f t="shared" si="27"/>
        <v>0.14863808219178082</v>
      </c>
      <c r="AM65" s="205">
        <f t="shared" si="27"/>
        <v>0.17531671232876714</v>
      </c>
      <c r="AN65" s="205">
        <f t="shared" si="27"/>
        <v>0.2362964383561644</v>
      </c>
      <c r="AO65" s="205">
        <f t="shared" si="27"/>
        <v>0.40780191780821923</v>
      </c>
      <c r="AP65" s="205">
        <f t="shared" si="27"/>
        <v>0.51451643835616445</v>
      </c>
      <c r="AQ65" s="259">
        <f t="shared" si="27"/>
        <v>0.60979726027397274</v>
      </c>
    </row>
    <row r="66" spans="2:43" s="115" customFormat="1" ht="15.75" x14ac:dyDescent="0.25">
      <c r="B66" s="337" t="s">
        <v>180</v>
      </c>
      <c r="C66" s="338"/>
      <c r="D66" s="338"/>
      <c r="E66" s="338"/>
      <c r="F66" s="338"/>
      <c r="G66" s="338"/>
      <c r="H66" s="338"/>
      <c r="I66" s="338"/>
      <c r="J66" s="338"/>
      <c r="K66" s="338"/>
      <c r="L66" s="338"/>
      <c r="M66" s="338"/>
      <c r="N66" s="338"/>
      <c r="O66" s="338"/>
      <c r="P66" s="338"/>
      <c r="Q66" s="338"/>
      <c r="R66" s="338"/>
      <c r="S66" s="338"/>
      <c r="T66" s="338"/>
      <c r="U66" s="338"/>
      <c r="V66" s="338"/>
      <c r="W66" s="338"/>
      <c r="X66" s="338"/>
      <c r="Y66" s="338"/>
      <c r="Z66" s="338"/>
      <c r="AA66" s="338"/>
      <c r="AB66" s="338"/>
      <c r="AC66" s="338"/>
      <c r="AD66" s="338"/>
      <c r="AE66" s="338"/>
      <c r="AF66" s="338"/>
      <c r="AG66" s="338"/>
      <c r="AH66" s="338"/>
      <c r="AI66" s="338"/>
      <c r="AJ66" s="338"/>
      <c r="AK66" s="338"/>
      <c r="AL66" s="338"/>
      <c r="AM66" s="338"/>
      <c r="AN66" s="338"/>
      <c r="AO66" s="338"/>
      <c r="AP66" s="338"/>
      <c r="AQ66" s="339"/>
    </row>
    <row r="67" spans="2:43" s="115" customFormat="1" ht="14.45" customHeight="1" x14ac:dyDescent="0.25">
      <c r="B67" s="256"/>
      <c r="C67" s="340" t="s">
        <v>79</v>
      </c>
      <c r="D67" s="343" t="s">
        <v>75</v>
      </c>
      <c r="E67" s="344"/>
      <c r="F67" s="344"/>
      <c r="G67" s="345"/>
      <c r="H67" s="343" t="s">
        <v>76</v>
      </c>
      <c r="I67" s="344"/>
      <c r="J67" s="344"/>
      <c r="K67" s="344"/>
      <c r="L67" s="344"/>
      <c r="M67" s="344"/>
      <c r="N67" s="344"/>
      <c r="O67" s="344"/>
      <c r="P67" s="344"/>
      <c r="Q67" s="344"/>
      <c r="R67" s="344"/>
      <c r="S67" s="345"/>
      <c r="T67" s="343" t="s">
        <v>77</v>
      </c>
      <c r="U67" s="344"/>
      <c r="V67" s="344"/>
      <c r="W67" s="344"/>
      <c r="X67" s="344"/>
      <c r="Y67" s="344"/>
      <c r="Z67" s="344"/>
      <c r="AA67" s="344"/>
      <c r="AB67" s="344"/>
      <c r="AC67" s="344"/>
      <c r="AD67" s="344"/>
      <c r="AE67" s="345"/>
      <c r="AF67" s="346" t="s">
        <v>78</v>
      </c>
      <c r="AG67" s="344"/>
      <c r="AH67" s="344"/>
      <c r="AI67" s="344"/>
      <c r="AJ67" s="344"/>
      <c r="AK67" s="344"/>
      <c r="AL67" s="344"/>
      <c r="AM67" s="344"/>
      <c r="AN67" s="344"/>
      <c r="AO67" s="344"/>
      <c r="AP67" s="344"/>
      <c r="AQ67" s="347"/>
    </row>
    <row r="68" spans="2:43" s="115" customFormat="1" x14ac:dyDescent="0.25">
      <c r="B68" s="245" t="s">
        <v>72</v>
      </c>
      <c r="C68" s="341"/>
      <c r="D68" s="226" t="s">
        <v>46</v>
      </c>
      <c r="E68" s="239" t="s">
        <v>47</v>
      </c>
      <c r="F68" s="239" t="s">
        <v>48</v>
      </c>
      <c r="G68" s="238" t="s">
        <v>49</v>
      </c>
      <c r="H68" s="226" t="s">
        <v>13</v>
      </c>
      <c r="I68" s="239" t="s">
        <v>14</v>
      </c>
      <c r="J68" s="239" t="s">
        <v>15</v>
      </c>
      <c r="K68" s="239" t="s">
        <v>16</v>
      </c>
      <c r="L68" s="239" t="s">
        <v>17</v>
      </c>
      <c r="M68" s="239" t="s">
        <v>18</v>
      </c>
      <c r="N68" s="239" t="s">
        <v>19</v>
      </c>
      <c r="O68" s="239" t="s">
        <v>20</v>
      </c>
      <c r="P68" s="239" t="s">
        <v>21</v>
      </c>
      <c r="Q68" s="239" t="s">
        <v>22</v>
      </c>
      <c r="R68" s="239" t="s">
        <v>23</v>
      </c>
      <c r="S68" s="238" t="s">
        <v>24</v>
      </c>
      <c r="T68" s="226" t="s">
        <v>13</v>
      </c>
      <c r="U68" s="239" t="s">
        <v>14</v>
      </c>
      <c r="V68" s="239" t="s">
        <v>15</v>
      </c>
      <c r="W68" s="239" t="s">
        <v>16</v>
      </c>
      <c r="X68" s="239" t="s">
        <v>17</v>
      </c>
      <c r="Y68" s="239" t="s">
        <v>18</v>
      </c>
      <c r="Z68" s="239" t="s">
        <v>19</v>
      </c>
      <c r="AA68" s="239" t="s">
        <v>20</v>
      </c>
      <c r="AB68" s="239" t="s">
        <v>21</v>
      </c>
      <c r="AC68" s="239" t="s">
        <v>22</v>
      </c>
      <c r="AD68" s="239" t="s">
        <v>23</v>
      </c>
      <c r="AE68" s="238" t="s">
        <v>24</v>
      </c>
      <c r="AF68" s="227" t="s">
        <v>13</v>
      </c>
      <c r="AG68" s="239" t="s">
        <v>14</v>
      </c>
      <c r="AH68" s="239" t="s">
        <v>15</v>
      </c>
      <c r="AI68" s="239" t="s">
        <v>16</v>
      </c>
      <c r="AJ68" s="239" t="s">
        <v>17</v>
      </c>
      <c r="AK68" s="239" t="s">
        <v>18</v>
      </c>
      <c r="AL68" s="239" t="s">
        <v>19</v>
      </c>
      <c r="AM68" s="239" t="s">
        <v>20</v>
      </c>
      <c r="AN68" s="239" t="s">
        <v>21</v>
      </c>
      <c r="AO68" s="239" t="s">
        <v>22</v>
      </c>
      <c r="AP68" s="239" t="s">
        <v>23</v>
      </c>
      <c r="AQ68" s="246" t="s">
        <v>24</v>
      </c>
    </row>
    <row r="69" spans="2:43" s="115" customFormat="1" x14ac:dyDescent="0.25">
      <c r="B69" s="245" t="s">
        <v>73</v>
      </c>
      <c r="C69" s="341"/>
      <c r="D69" s="202">
        <f>1/$C$12*D12*$D$22</f>
        <v>0.27349726775956285</v>
      </c>
      <c r="E69" s="197">
        <f>1/$C$12*E12*$D$22</f>
        <v>0.27349726775956285</v>
      </c>
      <c r="F69" s="197">
        <f>1/$C$12*F12*$D$22</f>
        <v>0.2765027322404372</v>
      </c>
      <c r="G69" s="197">
        <f>1/$C$12*G12*$D$22</f>
        <v>0.2765027322404372</v>
      </c>
      <c r="H69" s="202">
        <f t="shared" ref="H69:S69" si="28">1/$C$12*H12*$E$22</f>
        <v>0.1058743169398907</v>
      </c>
      <c r="I69" s="200">
        <f t="shared" si="28"/>
        <v>9.9043715846994534E-2</v>
      </c>
      <c r="J69" s="200">
        <f t="shared" si="28"/>
        <v>0.1058743169398907</v>
      </c>
      <c r="K69" s="200">
        <f t="shared" si="28"/>
        <v>0.10245901639344261</v>
      </c>
      <c r="L69" s="200">
        <f t="shared" si="28"/>
        <v>0.1058743169398907</v>
      </c>
      <c r="M69" s="200">
        <f t="shared" si="28"/>
        <v>0.10245901639344261</v>
      </c>
      <c r="N69" s="200">
        <f t="shared" si="28"/>
        <v>0.1058743169398907</v>
      </c>
      <c r="O69" s="200">
        <f t="shared" si="28"/>
        <v>0.1058743169398907</v>
      </c>
      <c r="P69" s="200">
        <f t="shared" si="28"/>
        <v>0.10245901639344261</v>
      </c>
      <c r="Q69" s="200">
        <f t="shared" si="28"/>
        <v>0.1058743169398907</v>
      </c>
      <c r="R69" s="200">
        <f t="shared" si="28"/>
        <v>0.10245901639344261</v>
      </c>
      <c r="S69" s="198">
        <f t="shared" si="28"/>
        <v>0.1058743169398907</v>
      </c>
      <c r="T69" s="200">
        <f t="shared" ref="T69:AE69" si="29">1/$C$12*$F$22</f>
        <v>4.0983606557377051E-3</v>
      </c>
      <c r="U69" s="200">
        <f t="shared" si="29"/>
        <v>4.0983606557377051E-3</v>
      </c>
      <c r="V69" s="200">
        <f t="shared" si="29"/>
        <v>4.0983606557377051E-3</v>
      </c>
      <c r="W69" s="200">
        <f t="shared" si="29"/>
        <v>4.0983606557377051E-3</v>
      </c>
      <c r="X69" s="200">
        <f t="shared" si="29"/>
        <v>4.0983606557377051E-3</v>
      </c>
      <c r="Y69" s="200">
        <f t="shared" si="29"/>
        <v>4.0983606557377051E-3</v>
      </c>
      <c r="Z69" s="200">
        <f t="shared" si="29"/>
        <v>4.0983606557377051E-3</v>
      </c>
      <c r="AA69" s="200">
        <f t="shared" si="29"/>
        <v>4.0983606557377051E-3</v>
      </c>
      <c r="AB69" s="200">
        <f t="shared" si="29"/>
        <v>4.0983606557377051E-3</v>
      </c>
      <c r="AC69" s="200">
        <f t="shared" si="29"/>
        <v>4.0983606557377051E-3</v>
      </c>
      <c r="AD69" s="200">
        <f t="shared" si="29"/>
        <v>4.0983606557377051E-3</v>
      </c>
      <c r="AE69" s="198">
        <f t="shared" si="29"/>
        <v>4.0983606557377051E-3</v>
      </c>
      <c r="AF69" s="200">
        <f t="shared" ref="AF69:AQ69" si="30">1/$C$12*$G$22</f>
        <v>4.6448087431693987E-3</v>
      </c>
      <c r="AG69" s="200">
        <f t="shared" si="30"/>
        <v>4.6448087431693987E-3</v>
      </c>
      <c r="AH69" s="200">
        <f t="shared" si="30"/>
        <v>4.6448087431693987E-3</v>
      </c>
      <c r="AI69" s="200">
        <f t="shared" si="30"/>
        <v>4.6448087431693987E-3</v>
      </c>
      <c r="AJ69" s="200">
        <f t="shared" si="30"/>
        <v>4.6448087431693987E-3</v>
      </c>
      <c r="AK69" s="200">
        <f t="shared" si="30"/>
        <v>4.6448087431693987E-3</v>
      </c>
      <c r="AL69" s="200">
        <f t="shared" si="30"/>
        <v>4.6448087431693987E-3</v>
      </c>
      <c r="AM69" s="200">
        <f t="shared" si="30"/>
        <v>4.6448087431693987E-3</v>
      </c>
      <c r="AN69" s="200">
        <f t="shared" si="30"/>
        <v>4.6448087431693987E-3</v>
      </c>
      <c r="AO69" s="200">
        <f t="shared" si="30"/>
        <v>4.6448087431693987E-3</v>
      </c>
      <c r="AP69" s="200">
        <f t="shared" si="30"/>
        <v>4.6448087431693987E-3</v>
      </c>
      <c r="AQ69" s="257">
        <f t="shared" si="30"/>
        <v>4.6448087431693987E-3</v>
      </c>
    </row>
    <row r="70" spans="2:43" s="115" customFormat="1" x14ac:dyDescent="0.25">
      <c r="B70" s="245" t="s">
        <v>153</v>
      </c>
      <c r="C70" s="341"/>
      <c r="D70" s="202">
        <f>1/$C$12*D12*$H$22</f>
        <v>0.27349726775956285</v>
      </c>
      <c r="E70" s="197">
        <f>1/$C$12*E12*$H$22</f>
        <v>0.27349726775956285</v>
      </c>
      <c r="F70" s="197">
        <f>1/$C$12*F12*$H$22</f>
        <v>0.2765027322404372</v>
      </c>
      <c r="G70" s="197">
        <f>1/$C$12*G12*$H$22</f>
        <v>0.2765027322404372</v>
      </c>
      <c r="H70" s="202">
        <f t="shared" ref="H70:S70" si="31">1/$C$12*H12*$I$22</f>
        <v>0.1058743169398907</v>
      </c>
      <c r="I70" s="200">
        <f t="shared" si="31"/>
        <v>9.9043715846994534E-2</v>
      </c>
      <c r="J70" s="200">
        <f t="shared" si="31"/>
        <v>0.1058743169398907</v>
      </c>
      <c r="K70" s="200">
        <f t="shared" si="31"/>
        <v>0.10245901639344261</v>
      </c>
      <c r="L70" s="200">
        <f t="shared" si="31"/>
        <v>0.1058743169398907</v>
      </c>
      <c r="M70" s="200">
        <f t="shared" si="31"/>
        <v>0.10245901639344261</v>
      </c>
      <c r="N70" s="200">
        <f t="shared" si="31"/>
        <v>0.1058743169398907</v>
      </c>
      <c r="O70" s="200">
        <f t="shared" si="31"/>
        <v>0.1058743169398907</v>
      </c>
      <c r="P70" s="200">
        <f t="shared" si="31"/>
        <v>0.10245901639344261</v>
      </c>
      <c r="Q70" s="200">
        <f t="shared" si="31"/>
        <v>0.1058743169398907</v>
      </c>
      <c r="R70" s="200">
        <f t="shared" si="31"/>
        <v>0.10245901639344261</v>
      </c>
      <c r="S70" s="198">
        <f t="shared" si="31"/>
        <v>0.1058743169398907</v>
      </c>
      <c r="T70" s="200">
        <f t="shared" ref="T70:AE70" si="32">1/$C$12*$J$22</f>
        <v>4.0983606557377051E-3</v>
      </c>
      <c r="U70" s="200">
        <f t="shared" si="32"/>
        <v>4.0983606557377051E-3</v>
      </c>
      <c r="V70" s="200">
        <f t="shared" si="32"/>
        <v>4.0983606557377051E-3</v>
      </c>
      <c r="W70" s="200">
        <f t="shared" si="32"/>
        <v>4.0983606557377051E-3</v>
      </c>
      <c r="X70" s="200">
        <f t="shared" si="32"/>
        <v>4.0983606557377051E-3</v>
      </c>
      <c r="Y70" s="200">
        <f t="shared" si="32"/>
        <v>4.0983606557377051E-3</v>
      </c>
      <c r="Z70" s="200">
        <f t="shared" si="32"/>
        <v>4.0983606557377051E-3</v>
      </c>
      <c r="AA70" s="200">
        <f t="shared" si="32"/>
        <v>4.0983606557377051E-3</v>
      </c>
      <c r="AB70" s="200">
        <f t="shared" si="32"/>
        <v>4.0983606557377051E-3</v>
      </c>
      <c r="AC70" s="200">
        <f t="shared" si="32"/>
        <v>4.0983606557377051E-3</v>
      </c>
      <c r="AD70" s="200">
        <f t="shared" si="32"/>
        <v>4.0983606557377051E-3</v>
      </c>
      <c r="AE70" s="198">
        <f t="shared" si="32"/>
        <v>4.0983606557377051E-3</v>
      </c>
      <c r="AF70" s="200">
        <f t="shared" ref="AF70:AQ70" si="33">1/$C$12*$K$22</f>
        <v>4.6448087431693987E-3</v>
      </c>
      <c r="AG70" s="200">
        <f t="shared" si="33"/>
        <v>4.6448087431693987E-3</v>
      </c>
      <c r="AH70" s="200">
        <f t="shared" si="33"/>
        <v>4.6448087431693987E-3</v>
      </c>
      <c r="AI70" s="200">
        <f t="shared" si="33"/>
        <v>4.6448087431693987E-3</v>
      </c>
      <c r="AJ70" s="200">
        <f t="shared" si="33"/>
        <v>4.6448087431693987E-3</v>
      </c>
      <c r="AK70" s="200">
        <f t="shared" si="33"/>
        <v>4.6448087431693987E-3</v>
      </c>
      <c r="AL70" s="200">
        <f t="shared" si="33"/>
        <v>4.6448087431693987E-3</v>
      </c>
      <c r="AM70" s="200">
        <f t="shared" si="33"/>
        <v>4.6448087431693987E-3</v>
      </c>
      <c r="AN70" s="200">
        <f t="shared" si="33"/>
        <v>4.6448087431693987E-3</v>
      </c>
      <c r="AO70" s="200">
        <f t="shared" si="33"/>
        <v>4.6448087431693987E-3</v>
      </c>
      <c r="AP70" s="200">
        <f t="shared" si="33"/>
        <v>4.6448087431693987E-3</v>
      </c>
      <c r="AQ70" s="257">
        <f t="shared" si="33"/>
        <v>4.6448087431693987E-3</v>
      </c>
    </row>
    <row r="71" spans="2:43" s="115" customFormat="1" x14ac:dyDescent="0.25">
      <c r="B71" s="245" t="s">
        <v>74</v>
      </c>
      <c r="C71" s="341"/>
      <c r="D71" s="202">
        <f>1/$C$12*D12*$L$22*D43</f>
        <v>0.46618852459016391</v>
      </c>
      <c r="E71" s="197">
        <f>1/$C$12*E12*$L$22*E43</f>
        <v>0.21755464480874315</v>
      </c>
      <c r="F71" s="197">
        <f>1/$C$12*F12*$L$22*F43</f>
        <v>0.15396174863387979</v>
      </c>
      <c r="G71" s="197">
        <f>1/$C$12*G12*$L$22*G43</f>
        <v>0.41161202185792356</v>
      </c>
      <c r="H71" s="202">
        <f t="shared" ref="H71:S71" si="34">1/$C$12*H12*$M$22*H43</f>
        <v>0.21979508196721312</v>
      </c>
      <c r="I71" s="200">
        <f t="shared" si="34"/>
        <v>0.16163934426229509</v>
      </c>
      <c r="J71" s="200">
        <f t="shared" si="34"/>
        <v>0.1765983606557377</v>
      </c>
      <c r="K71" s="200">
        <f t="shared" si="34"/>
        <v>0.10942622950819672</v>
      </c>
      <c r="L71" s="200">
        <f t="shared" si="34"/>
        <v>8.8934426229508187E-2</v>
      </c>
      <c r="M71" s="200">
        <f t="shared" si="34"/>
        <v>6.5163934426229517E-2</v>
      </c>
      <c r="N71" s="200">
        <f t="shared" si="34"/>
        <v>5.463114754098361E-2</v>
      </c>
      <c r="O71" s="200">
        <f t="shared" si="34"/>
        <v>6.098360655737705E-2</v>
      </c>
      <c r="P71" s="200">
        <f t="shared" si="34"/>
        <v>6.8852459016393447E-2</v>
      </c>
      <c r="Q71" s="200">
        <f t="shared" si="34"/>
        <v>0.12450819672131147</v>
      </c>
      <c r="R71" s="200">
        <f t="shared" si="34"/>
        <v>0.15737704918032788</v>
      </c>
      <c r="S71" s="198">
        <f t="shared" si="34"/>
        <v>0.21090163934426229</v>
      </c>
      <c r="T71" s="200">
        <f t="shared" ref="T71:AE71" si="35">1/$C$12*$N$22*T43</f>
        <v>1.418032786885246E-2</v>
      </c>
      <c r="U71" s="200">
        <f t="shared" si="35"/>
        <v>1.1147540983606558E-2</v>
      </c>
      <c r="V71" s="200">
        <f t="shared" si="35"/>
        <v>1.139344262295082E-2</v>
      </c>
      <c r="W71" s="200">
        <f t="shared" si="35"/>
        <v>7.2950819672131153E-3</v>
      </c>
      <c r="X71" s="200">
        <f t="shared" si="35"/>
        <v>5.7377049180327867E-3</v>
      </c>
      <c r="Y71" s="200">
        <f t="shared" si="35"/>
        <v>4.3442622950819673E-3</v>
      </c>
      <c r="Z71" s="200">
        <f t="shared" si="35"/>
        <v>3.5245901639344266E-3</v>
      </c>
      <c r="AA71" s="200">
        <f t="shared" si="35"/>
        <v>3.9344262295081967E-3</v>
      </c>
      <c r="AB71" s="200">
        <f t="shared" si="35"/>
        <v>4.5901639344262304E-3</v>
      </c>
      <c r="AC71" s="200">
        <f t="shared" si="35"/>
        <v>8.0327868852459027E-3</v>
      </c>
      <c r="AD71" s="200">
        <f t="shared" si="35"/>
        <v>1.0491803278688525E-2</v>
      </c>
      <c r="AE71" s="198">
        <f t="shared" si="35"/>
        <v>1.360655737704918E-2</v>
      </c>
      <c r="AF71" s="200">
        <f t="shared" ref="AF71:AQ71" si="36">1/$C$12*$N$22*T43</f>
        <v>1.418032786885246E-2</v>
      </c>
      <c r="AG71" s="200">
        <f t="shared" si="36"/>
        <v>1.1147540983606558E-2</v>
      </c>
      <c r="AH71" s="200">
        <f t="shared" si="36"/>
        <v>1.139344262295082E-2</v>
      </c>
      <c r="AI71" s="200">
        <f t="shared" si="36"/>
        <v>7.2950819672131153E-3</v>
      </c>
      <c r="AJ71" s="200">
        <f t="shared" si="36"/>
        <v>5.7377049180327867E-3</v>
      </c>
      <c r="AK71" s="200">
        <f t="shared" si="36"/>
        <v>4.3442622950819673E-3</v>
      </c>
      <c r="AL71" s="200">
        <f t="shared" si="36"/>
        <v>3.5245901639344266E-3</v>
      </c>
      <c r="AM71" s="200">
        <f t="shared" si="36"/>
        <v>3.9344262295081967E-3</v>
      </c>
      <c r="AN71" s="200">
        <f t="shared" si="36"/>
        <v>4.5901639344262304E-3</v>
      </c>
      <c r="AO71" s="200">
        <f t="shared" si="36"/>
        <v>8.0327868852459027E-3</v>
      </c>
      <c r="AP71" s="200">
        <f t="shared" si="36"/>
        <v>1.0491803278688525E-2</v>
      </c>
      <c r="AQ71" s="257">
        <f t="shared" si="36"/>
        <v>1.360655737704918E-2</v>
      </c>
    </row>
    <row r="72" spans="2:43" s="115" customFormat="1" x14ac:dyDescent="0.25">
      <c r="B72" s="245" t="s">
        <v>154</v>
      </c>
      <c r="C72" s="341"/>
      <c r="D72" s="202">
        <f>1/$C$12*D12*$L$22*D33</f>
        <v>0.46618852459016391</v>
      </c>
      <c r="E72" s="197">
        <f>1/$C$12*E12*$L$22*E33</f>
        <v>0.21755464480874315</v>
      </c>
      <c r="F72" s="197">
        <f>1/$C$12*F12*$L$22*F33</f>
        <v>0.15396174863387979</v>
      </c>
      <c r="G72" s="197">
        <f>1/$C$12*G12*$L$22*G33</f>
        <v>0.41161202185792356</v>
      </c>
      <c r="H72" s="202">
        <f t="shared" ref="H72:S72" si="37">1/$C$12*H12*$M$22*H33</f>
        <v>0.21979508196721312</v>
      </c>
      <c r="I72" s="200">
        <f t="shared" si="37"/>
        <v>0.16163934426229509</v>
      </c>
      <c r="J72" s="200">
        <f t="shared" si="37"/>
        <v>0.1765983606557377</v>
      </c>
      <c r="K72" s="200">
        <f t="shared" si="37"/>
        <v>0.10942622950819672</v>
      </c>
      <c r="L72" s="200">
        <f t="shared" si="37"/>
        <v>8.8934426229508187E-2</v>
      </c>
      <c r="M72" s="200">
        <f t="shared" si="37"/>
        <v>6.5163934426229517E-2</v>
      </c>
      <c r="N72" s="200">
        <f t="shared" si="37"/>
        <v>5.463114754098361E-2</v>
      </c>
      <c r="O72" s="200">
        <f t="shared" si="37"/>
        <v>6.098360655737705E-2</v>
      </c>
      <c r="P72" s="200">
        <f t="shared" si="37"/>
        <v>6.8852459016393447E-2</v>
      </c>
      <c r="Q72" s="200">
        <f t="shared" si="37"/>
        <v>0.12450819672131147</v>
      </c>
      <c r="R72" s="200">
        <f t="shared" si="37"/>
        <v>0.15737704918032788</v>
      </c>
      <c r="S72" s="198">
        <f t="shared" si="37"/>
        <v>0.21090163934426229</v>
      </c>
      <c r="T72" s="200">
        <f t="shared" ref="T72:AE72" si="38">1/$C$12*$N$22*T33</f>
        <v>1.418032786885246E-2</v>
      </c>
      <c r="U72" s="200">
        <f t="shared" si="38"/>
        <v>1.1147540983606558E-2</v>
      </c>
      <c r="V72" s="200">
        <f t="shared" si="38"/>
        <v>1.139344262295082E-2</v>
      </c>
      <c r="W72" s="200">
        <f t="shared" si="38"/>
        <v>7.2950819672131153E-3</v>
      </c>
      <c r="X72" s="200">
        <f t="shared" si="38"/>
        <v>5.7377049180327867E-3</v>
      </c>
      <c r="Y72" s="200">
        <f t="shared" si="38"/>
        <v>4.3442622950819673E-3</v>
      </c>
      <c r="Z72" s="200">
        <f t="shared" si="38"/>
        <v>3.5245901639344266E-3</v>
      </c>
      <c r="AA72" s="200">
        <f t="shared" si="38"/>
        <v>3.9344262295081967E-3</v>
      </c>
      <c r="AB72" s="200">
        <f t="shared" si="38"/>
        <v>4.5901639344262304E-3</v>
      </c>
      <c r="AC72" s="200">
        <f t="shared" si="38"/>
        <v>8.0327868852459027E-3</v>
      </c>
      <c r="AD72" s="200">
        <f t="shared" si="38"/>
        <v>1.0491803278688525E-2</v>
      </c>
      <c r="AE72" s="198">
        <f t="shared" si="38"/>
        <v>1.360655737704918E-2</v>
      </c>
      <c r="AF72" s="200">
        <f t="shared" ref="AF72:AQ72" si="39">1/$C$12*$N$22*T33</f>
        <v>1.418032786885246E-2</v>
      </c>
      <c r="AG72" s="200">
        <f t="shared" si="39"/>
        <v>1.1147540983606558E-2</v>
      </c>
      <c r="AH72" s="200">
        <f t="shared" si="39"/>
        <v>1.139344262295082E-2</v>
      </c>
      <c r="AI72" s="200">
        <f t="shared" si="39"/>
        <v>7.2950819672131153E-3</v>
      </c>
      <c r="AJ72" s="200">
        <f t="shared" si="39"/>
        <v>5.7377049180327867E-3</v>
      </c>
      <c r="AK72" s="200">
        <f t="shared" si="39"/>
        <v>4.3442622950819673E-3</v>
      </c>
      <c r="AL72" s="200">
        <f t="shared" si="39"/>
        <v>3.5245901639344266E-3</v>
      </c>
      <c r="AM72" s="200">
        <f t="shared" si="39"/>
        <v>3.9344262295081967E-3</v>
      </c>
      <c r="AN72" s="200">
        <f t="shared" si="39"/>
        <v>4.5901639344262304E-3</v>
      </c>
      <c r="AO72" s="200">
        <f t="shared" si="39"/>
        <v>8.0327868852459027E-3</v>
      </c>
      <c r="AP72" s="200">
        <f t="shared" si="39"/>
        <v>1.0491803278688525E-2</v>
      </c>
      <c r="AQ72" s="257">
        <f t="shared" si="39"/>
        <v>1.360655737704918E-2</v>
      </c>
    </row>
    <row r="73" spans="2:43" s="115" customFormat="1" x14ac:dyDescent="0.25">
      <c r="B73" s="247" t="s">
        <v>80</v>
      </c>
      <c r="C73" s="211">
        <f>ROUND(Kainos!F120,2)</f>
        <v>142.77000000000001</v>
      </c>
      <c r="D73" s="203">
        <f>$C$73*D69</f>
        <v>39.04720491803279</v>
      </c>
      <c r="E73" s="196">
        <f t="shared" ref="E73:AQ73" si="40">$C$73*E69</f>
        <v>39.04720491803279</v>
      </c>
      <c r="F73" s="196">
        <f t="shared" si="40"/>
        <v>39.476295081967223</v>
      </c>
      <c r="G73" s="199">
        <f t="shared" si="40"/>
        <v>39.476295081967223</v>
      </c>
      <c r="H73" s="203">
        <f t="shared" si="40"/>
        <v>15.115676229508196</v>
      </c>
      <c r="I73" s="196">
        <f t="shared" si="40"/>
        <v>14.140471311475411</v>
      </c>
      <c r="J73" s="196">
        <f t="shared" si="40"/>
        <v>15.115676229508196</v>
      </c>
      <c r="K73" s="196">
        <f t="shared" si="40"/>
        <v>14.628073770491802</v>
      </c>
      <c r="L73" s="196">
        <f t="shared" si="40"/>
        <v>15.115676229508196</v>
      </c>
      <c r="M73" s="196">
        <f t="shared" si="40"/>
        <v>14.628073770491802</v>
      </c>
      <c r="N73" s="196">
        <f t="shared" si="40"/>
        <v>15.115676229508196</v>
      </c>
      <c r="O73" s="196">
        <f t="shared" si="40"/>
        <v>15.115676229508196</v>
      </c>
      <c r="P73" s="196">
        <f t="shared" si="40"/>
        <v>14.628073770491802</v>
      </c>
      <c r="Q73" s="196">
        <f t="shared" si="40"/>
        <v>15.115676229508196</v>
      </c>
      <c r="R73" s="196">
        <f t="shared" si="40"/>
        <v>14.628073770491802</v>
      </c>
      <c r="S73" s="199">
        <f t="shared" si="40"/>
        <v>15.115676229508196</v>
      </c>
      <c r="T73" s="203">
        <f t="shared" si="40"/>
        <v>0.58512295081967225</v>
      </c>
      <c r="U73" s="196">
        <f t="shared" si="40"/>
        <v>0.58512295081967225</v>
      </c>
      <c r="V73" s="196">
        <f t="shared" si="40"/>
        <v>0.58512295081967225</v>
      </c>
      <c r="W73" s="196">
        <f t="shared" si="40"/>
        <v>0.58512295081967225</v>
      </c>
      <c r="X73" s="196">
        <f t="shared" si="40"/>
        <v>0.58512295081967225</v>
      </c>
      <c r="Y73" s="196">
        <f t="shared" si="40"/>
        <v>0.58512295081967225</v>
      </c>
      <c r="Z73" s="196">
        <f t="shared" si="40"/>
        <v>0.58512295081967225</v>
      </c>
      <c r="AA73" s="196">
        <f t="shared" si="40"/>
        <v>0.58512295081967225</v>
      </c>
      <c r="AB73" s="196">
        <f t="shared" si="40"/>
        <v>0.58512295081967225</v>
      </c>
      <c r="AC73" s="196">
        <f t="shared" si="40"/>
        <v>0.58512295081967225</v>
      </c>
      <c r="AD73" s="196">
        <f t="shared" si="40"/>
        <v>0.58512295081967225</v>
      </c>
      <c r="AE73" s="199">
        <f t="shared" si="40"/>
        <v>0.58512295081967225</v>
      </c>
      <c r="AF73" s="201">
        <f t="shared" si="40"/>
        <v>0.66313934426229515</v>
      </c>
      <c r="AG73" s="196">
        <f t="shared" si="40"/>
        <v>0.66313934426229515</v>
      </c>
      <c r="AH73" s="196">
        <f t="shared" si="40"/>
        <v>0.66313934426229515</v>
      </c>
      <c r="AI73" s="196">
        <f t="shared" si="40"/>
        <v>0.66313934426229515</v>
      </c>
      <c r="AJ73" s="196">
        <f t="shared" si="40"/>
        <v>0.66313934426229515</v>
      </c>
      <c r="AK73" s="196">
        <f t="shared" si="40"/>
        <v>0.66313934426229515</v>
      </c>
      <c r="AL73" s="196">
        <f t="shared" si="40"/>
        <v>0.66313934426229515</v>
      </c>
      <c r="AM73" s="196">
        <f t="shared" si="40"/>
        <v>0.66313934426229515</v>
      </c>
      <c r="AN73" s="196">
        <f t="shared" si="40"/>
        <v>0.66313934426229515</v>
      </c>
      <c r="AO73" s="196">
        <f t="shared" si="40"/>
        <v>0.66313934426229515</v>
      </c>
      <c r="AP73" s="196">
        <f t="shared" si="40"/>
        <v>0.66313934426229515</v>
      </c>
      <c r="AQ73" s="258">
        <f t="shared" si="40"/>
        <v>0.66313934426229515</v>
      </c>
    </row>
    <row r="74" spans="2:43" s="115" customFormat="1" x14ac:dyDescent="0.25">
      <c r="B74" s="247" t="s">
        <v>81</v>
      </c>
      <c r="C74" s="211">
        <f>ROUND(Kainos!F122,2)</f>
        <v>35.96</v>
      </c>
      <c r="D74" s="203">
        <f t="shared" ref="D74:AQ74" si="41">$C$74*D69</f>
        <v>9.8349617486338801</v>
      </c>
      <c r="E74" s="196">
        <f t="shared" si="41"/>
        <v>9.8349617486338801</v>
      </c>
      <c r="F74" s="196">
        <f t="shared" si="41"/>
        <v>9.9430382513661222</v>
      </c>
      <c r="G74" s="199">
        <f t="shared" si="41"/>
        <v>9.9430382513661222</v>
      </c>
      <c r="H74" s="203">
        <f t="shared" si="41"/>
        <v>3.8072404371584696</v>
      </c>
      <c r="I74" s="196">
        <f t="shared" si="41"/>
        <v>3.5616120218579237</v>
      </c>
      <c r="J74" s="196">
        <f t="shared" si="41"/>
        <v>3.8072404371584696</v>
      </c>
      <c r="K74" s="196">
        <f t="shared" si="41"/>
        <v>3.6844262295081962</v>
      </c>
      <c r="L74" s="196">
        <f t="shared" si="41"/>
        <v>3.8072404371584696</v>
      </c>
      <c r="M74" s="196">
        <f t="shared" si="41"/>
        <v>3.6844262295081962</v>
      </c>
      <c r="N74" s="196">
        <f t="shared" si="41"/>
        <v>3.8072404371584696</v>
      </c>
      <c r="O74" s="196">
        <f t="shared" si="41"/>
        <v>3.8072404371584696</v>
      </c>
      <c r="P74" s="196">
        <f t="shared" si="41"/>
        <v>3.6844262295081962</v>
      </c>
      <c r="Q74" s="196">
        <f t="shared" si="41"/>
        <v>3.8072404371584696</v>
      </c>
      <c r="R74" s="196">
        <f t="shared" si="41"/>
        <v>3.6844262295081962</v>
      </c>
      <c r="S74" s="199">
        <f t="shared" si="41"/>
        <v>3.8072404371584696</v>
      </c>
      <c r="T74" s="203">
        <f t="shared" si="41"/>
        <v>0.14737704918032787</v>
      </c>
      <c r="U74" s="196">
        <f t="shared" si="41"/>
        <v>0.14737704918032787</v>
      </c>
      <c r="V74" s="196">
        <f t="shared" si="41"/>
        <v>0.14737704918032787</v>
      </c>
      <c r="W74" s="196">
        <f t="shared" si="41"/>
        <v>0.14737704918032787</v>
      </c>
      <c r="X74" s="196">
        <f t="shared" si="41"/>
        <v>0.14737704918032787</v>
      </c>
      <c r="Y74" s="196">
        <f t="shared" si="41"/>
        <v>0.14737704918032787</v>
      </c>
      <c r="Z74" s="196">
        <f t="shared" si="41"/>
        <v>0.14737704918032787</v>
      </c>
      <c r="AA74" s="196">
        <f t="shared" si="41"/>
        <v>0.14737704918032787</v>
      </c>
      <c r="AB74" s="196">
        <f t="shared" si="41"/>
        <v>0.14737704918032787</v>
      </c>
      <c r="AC74" s="196">
        <f t="shared" si="41"/>
        <v>0.14737704918032787</v>
      </c>
      <c r="AD74" s="196">
        <f t="shared" si="41"/>
        <v>0.14737704918032787</v>
      </c>
      <c r="AE74" s="199">
        <f t="shared" si="41"/>
        <v>0.14737704918032787</v>
      </c>
      <c r="AF74" s="201">
        <f t="shared" si="41"/>
        <v>0.16702732240437157</v>
      </c>
      <c r="AG74" s="196">
        <f t="shared" si="41"/>
        <v>0.16702732240437157</v>
      </c>
      <c r="AH74" s="196">
        <f t="shared" si="41"/>
        <v>0.16702732240437157</v>
      </c>
      <c r="AI74" s="196">
        <f t="shared" si="41"/>
        <v>0.16702732240437157</v>
      </c>
      <c r="AJ74" s="196">
        <f t="shared" si="41"/>
        <v>0.16702732240437157</v>
      </c>
      <c r="AK74" s="196">
        <f t="shared" si="41"/>
        <v>0.16702732240437157</v>
      </c>
      <c r="AL74" s="196">
        <f t="shared" si="41"/>
        <v>0.16702732240437157</v>
      </c>
      <c r="AM74" s="196">
        <f t="shared" si="41"/>
        <v>0.16702732240437157</v>
      </c>
      <c r="AN74" s="196">
        <f t="shared" si="41"/>
        <v>0.16702732240437157</v>
      </c>
      <c r="AO74" s="196">
        <f t="shared" si="41"/>
        <v>0.16702732240437157</v>
      </c>
      <c r="AP74" s="196">
        <f t="shared" si="41"/>
        <v>0.16702732240437157</v>
      </c>
      <c r="AQ74" s="258">
        <f t="shared" si="41"/>
        <v>0.16702732240437157</v>
      </c>
    </row>
    <row r="75" spans="2:43" s="115" customFormat="1" x14ac:dyDescent="0.25">
      <c r="B75" s="247" t="s">
        <v>82</v>
      </c>
      <c r="C75" s="211">
        <f>ROUND(Kainos!F123,2)</f>
        <v>142.77000000000001</v>
      </c>
      <c r="D75" s="203">
        <f t="shared" ref="D75:AQ75" si="42">$C$75*D69</f>
        <v>39.04720491803279</v>
      </c>
      <c r="E75" s="196">
        <f t="shared" si="42"/>
        <v>39.04720491803279</v>
      </c>
      <c r="F75" s="196">
        <f t="shared" si="42"/>
        <v>39.476295081967223</v>
      </c>
      <c r="G75" s="199">
        <f t="shared" si="42"/>
        <v>39.476295081967223</v>
      </c>
      <c r="H75" s="203">
        <f t="shared" si="42"/>
        <v>15.115676229508196</v>
      </c>
      <c r="I75" s="196">
        <f t="shared" si="42"/>
        <v>14.140471311475411</v>
      </c>
      <c r="J75" s="196">
        <f t="shared" si="42"/>
        <v>15.115676229508196</v>
      </c>
      <c r="K75" s="196">
        <f t="shared" si="42"/>
        <v>14.628073770491802</v>
      </c>
      <c r="L75" s="196">
        <f t="shared" si="42"/>
        <v>15.115676229508196</v>
      </c>
      <c r="M75" s="196">
        <f t="shared" si="42"/>
        <v>14.628073770491802</v>
      </c>
      <c r="N75" s="196">
        <f t="shared" si="42"/>
        <v>15.115676229508196</v>
      </c>
      <c r="O75" s="196">
        <f t="shared" si="42"/>
        <v>15.115676229508196</v>
      </c>
      <c r="P75" s="196">
        <f t="shared" si="42"/>
        <v>14.628073770491802</v>
      </c>
      <c r="Q75" s="196">
        <f t="shared" si="42"/>
        <v>15.115676229508196</v>
      </c>
      <c r="R75" s="196">
        <f t="shared" si="42"/>
        <v>14.628073770491802</v>
      </c>
      <c r="S75" s="199">
        <f t="shared" si="42"/>
        <v>15.115676229508196</v>
      </c>
      <c r="T75" s="203">
        <f t="shared" si="42"/>
        <v>0.58512295081967225</v>
      </c>
      <c r="U75" s="196">
        <f t="shared" si="42"/>
        <v>0.58512295081967225</v>
      </c>
      <c r="V75" s="196">
        <f t="shared" si="42"/>
        <v>0.58512295081967225</v>
      </c>
      <c r="W75" s="196">
        <f t="shared" si="42"/>
        <v>0.58512295081967225</v>
      </c>
      <c r="X75" s="196">
        <f t="shared" si="42"/>
        <v>0.58512295081967225</v>
      </c>
      <c r="Y75" s="196">
        <f t="shared" si="42"/>
        <v>0.58512295081967225</v>
      </c>
      <c r="Z75" s="196">
        <f t="shared" si="42"/>
        <v>0.58512295081967225</v>
      </c>
      <c r="AA75" s="196">
        <f t="shared" si="42"/>
        <v>0.58512295081967225</v>
      </c>
      <c r="AB75" s="196">
        <f t="shared" si="42"/>
        <v>0.58512295081967225</v>
      </c>
      <c r="AC75" s="196">
        <f t="shared" si="42"/>
        <v>0.58512295081967225</v>
      </c>
      <c r="AD75" s="196">
        <f t="shared" si="42"/>
        <v>0.58512295081967225</v>
      </c>
      <c r="AE75" s="199">
        <f t="shared" si="42"/>
        <v>0.58512295081967225</v>
      </c>
      <c r="AF75" s="201">
        <f t="shared" si="42"/>
        <v>0.66313934426229515</v>
      </c>
      <c r="AG75" s="196">
        <f t="shared" si="42"/>
        <v>0.66313934426229515</v>
      </c>
      <c r="AH75" s="196">
        <f t="shared" si="42"/>
        <v>0.66313934426229515</v>
      </c>
      <c r="AI75" s="196">
        <f t="shared" si="42"/>
        <v>0.66313934426229515</v>
      </c>
      <c r="AJ75" s="196">
        <f t="shared" si="42"/>
        <v>0.66313934426229515</v>
      </c>
      <c r="AK75" s="196">
        <f t="shared" si="42"/>
        <v>0.66313934426229515</v>
      </c>
      <c r="AL75" s="196">
        <f t="shared" si="42"/>
        <v>0.66313934426229515</v>
      </c>
      <c r="AM75" s="196">
        <f t="shared" si="42"/>
        <v>0.66313934426229515</v>
      </c>
      <c r="AN75" s="196">
        <f t="shared" si="42"/>
        <v>0.66313934426229515</v>
      </c>
      <c r="AO75" s="196">
        <f t="shared" si="42"/>
        <v>0.66313934426229515</v>
      </c>
      <c r="AP75" s="196">
        <f t="shared" si="42"/>
        <v>0.66313934426229515</v>
      </c>
      <c r="AQ75" s="258">
        <f t="shared" si="42"/>
        <v>0.66313934426229515</v>
      </c>
    </row>
    <row r="76" spans="2:43" s="115" customFormat="1" x14ac:dyDescent="0.25">
      <c r="B76" s="247" t="s">
        <v>83</v>
      </c>
      <c r="C76" s="211">
        <f>ROUND(Kainos!F124,2)</f>
        <v>142.77000000000001</v>
      </c>
      <c r="D76" s="203">
        <f t="shared" ref="D76:AQ76" si="43">$C$76*D69</f>
        <v>39.04720491803279</v>
      </c>
      <c r="E76" s="196">
        <f t="shared" si="43"/>
        <v>39.04720491803279</v>
      </c>
      <c r="F76" s="196">
        <f t="shared" si="43"/>
        <v>39.476295081967223</v>
      </c>
      <c r="G76" s="199">
        <f t="shared" si="43"/>
        <v>39.476295081967223</v>
      </c>
      <c r="H76" s="203">
        <f t="shared" si="43"/>
        <v>15.115676229508196</v>
      </c>
      <c r="I76" s="196">
        <f t="shared" si="43"/>
        <v>14.140471311475411</v>
      </c>
      <c r="J76" s="196">
        <f t="shared" si="43"/>
        <v>15.115676229508196</v>
      </c>
      <c r="K76" s="196">
        <f t="shared" si="43"/>
        <v>14.628073770491802</v>
      </c>
      <c r="L76" s="196">
        <f t="shared" si="43"/>
        <v>15.115676229508196</v>
      </c>
      <c r="M76" s="196">
        <f t="shared" si="43"/>
        <v>14.628073770491802</v>
      </c>
      <c r="N76" s="196">
        <f t="shared" si="43"/>
        <v>15.115676229508196</v>
      </c>
      <c r="O76" s="196">
        <f t="shared" si="43"/>
        <v>15.115676229508196</v>
      </c>
      <c r="P76" s="196">
        <f t="shared" si="43"/>
        <v>14.628073770491802</v>
      </c>
      <c r="Q76" s="196">
        <f t="shared" si="43"/>
        <v>15.115676229508196</v>
      </c>
      <c r="R76" s="196">
        <f t="shared" si="43"/>
        <v>14.628073770491802</v>
      </c>
      <c r="S76" s="199">
        <f t="shared" si="43"/>
        <v>15.115676229508196</v>
      </c>
      <c r="T76" s="203">
        <f t="shared" si="43"/>
        <v>0.58512295081967225</v>
      </c>
      <c r="U76" s="196">
        <f t="shared" si="43"/>
        <v>0.58512295081967225</v>
      </c>
      <c r="V76" s="196">
        <f t="shared" si="43"/>
        <v>0.58512295081967225</v>
      </c>
      <c r="W76" s="196">
        <f t="shared" si="43"/>
        <v>0.58512295081967225</v>
      </c>
      <c r="X76" s="196">
        <f t="shared" si="43"/>
        <v>0.58512295081967225</v>
      </c>
      <c r="Y76" s="196">
        <f t="shared" si="43"/>
        <v>0.58512295081967225</v>
      </c>
      <c r="Z76" s="196">
        <f t="shared" si="43"/>
        <v>0.58512295081967225</v>
      </c>
      <c r="AA76" s="196">
        <f t="shared" si="43"/>
        <v>0.58512295081967225</v>
      </c>
      <c r="AB76" s="196">
        <f t="shared" si="43"/>
        <v>0.58512295081967225</v>
      </c>
      <c r="AC76" s="196">
        <f t="shared" si="43"/>
        <v>0.58512295081967225</v>
      </c>
      <c r="AD76" s="196">
        <f t="shared" si="43"/>
        <v>0.58512295081967225</v>
      </c>
      <c r="AE76" s="199">
        <f t="shared" si="43"/>
        <v>0.58512295081967225</v>
      </c>
      <c r="AF76" s="201">
        <f t="shared" si="43"/>
        <v>0.66313934426229515</v>
      </c>
      <c r="AG76" s="196">
        <f t="shared" si="43"/>
        <v>0.66313934426229515</v>
      </c>
      <c r="AH76" s="196">
        <f t="shared" si="43"/>
        <v>0.66313934426229515</v>
      </c>
      <c r="AI76" s="196">
        <f t="shared" si="43"/>
        <v>0.66313934426229515</v>
      </c>
      <c r="AJ76" s="196">
        <f t="shared" si="43"/>
        <v>0.66313934426229515</v>
      </c>
      <c r="AK76" s="196">
        <f t="shared" si="43"/>
        <v>0.66313934426229515</v>
      </c>
      <c r="AL76" s="196">
        <f t="shared" si="43"/>
        <v>0.66313934426229515</v>
      </c>
      <c r="AM76" s="196">
        <f t="shared" si="43"/>
        <v>0.66313934426229515</v>
      </c>
      <c r="AN76" s="196">
        <f t="shared" si="43"/>
        <v>0.66313934426229515</v>
      </c>
      <c r="AO76" s="196">
        <f t="shared" si="43"/>
        <v>0.66313934426229515</v>
      </c>
      <c r="AP76" s="196">
        <f t="shared" si="43"/>
        <v>0.66313934426229515</v>
      </c>
      <c r="AQ76" s="258">
        <f t="shared" si="43"/>
        <v>0.66313934426229515</v>
      </c>
    </row>
    <row r="77" spans="2:43" s="115" customFormat="1" x14ac:dyDescent="0.25">
      <c r="B77" s="247" t="s">
        <v>149</v>
      </c>
      <c r="C77" s="211">
        <f>ROUND(Kainos!F125,2)</f>
        <v>142.77000000000001</v>
      </c>
      <c r="D77" s="203">
        <f t="shared" ref="D77:AQ77" si="44">$C$77*D69</f>
        <v>39.04720491803279</v>
      </c>
      <c r="E77" s="196">
        <f t="shared" si="44"/>
        <v>39.04720491803279</v>
      </c>
      <c r="F77" s="196">
        <f t="shared" si="44"/>
        <v>39.476295081967223</v>
      </c>
      <c r="G77" s="199">
        <f t="shared" si="44"/>
        <v>39.476295081967223</v>
      </c>
      <c r="H77" s="203">
        <f t="shared" si="44"/>
        <v>15.115676229508196</v>
      </c>
      <c r="I77" s="196">
        <f t="shared" si="44"/>
        <v>14.140471311475411</v>
      </c>
      <c r="J77" s="196">
        <f t="shared" si="44"/>
        <v>15.115676229508196</v>
      </c>
      <c r="K77" s="196">
        <f t="shared" si="44"/>
        <v>14.628073770491802</v>
      </c>
      <c r="L77" s="196">
        <f t="shared" si="44"/>
        <v>15.115676229508196</v>
      </c>
      <c r="M77" s="196">
        <f t="shared" si="44"/>
        <v>14.628073770491802</v>
      </c>
      <c r="N77" s="196">
        <f t="shared" si="44"/>
        <v>15.115676229508196</v>
      </c>
      <c r="O77" s="196">
        <f t="shared" si="44"/>
        <v>15.115676229508196</v>
      </c>
      <c r="P77" s="196">
        <f t="shared" si="44"/>
        <v>14.628073770491802</v>
      </c>
      <c r="Q77" s="196">
        <f t="shared" si="44"/>
        <v>15.115676229508196</v>
      </c>
      <c r="R77" s="196">
        <f t="shared" si="44"/>
        <v>14.628073770491802</v>
      </c>
      <c r="S77" s="199">
        <f t="shared" si="44"/>
        <v>15.115676229508196</v>
      </c>
      <c r="T77" s="203">
        <f t="shared" si="44"/>
        <v>0.58512295081967225</v>
      </c>
      <c r="U77" s="196">
        <f t="shared" si="44"/>
        <v>0.58512295081967225</v>
      </c>
      <c r="V77" s="196">
        <f t="shared" si="44"/>
        <v>0.58512295081967225</v>
      </c>
      <c r="W77" s="196">
        <f t="shared" si="44"/>
        <v>0.58512295081967225</v>
      </c>
      <c r="X77" s="196">
        <f t="shared" si="44"/>
        <v>0.58512295081967225</v>
      </c>
      <c r="Y77" s="196">
        <f t="shared" si="44"/>
        <v>0.58512295081967225</v>
      </c>
      <c r="Z77" s="196">
        <f t="shared" si="44"/>
        <v>0.58512295081967225</v>
      </c>
      <c r="AA77" s="196">
        <f t="shared" si="44"/>
        <v>0.58512295081967225</v>
      </c>
      <c r="AB77" s="196">
        <f t="shared" si="44"/>
        <v>0.58512295081967225</v>
      </c>
      <c r="AC77" s="196">
        <f t="shared" si="44"/>
        <v>0.58512295081967225</v>
      </c>
      <c r="AD77" s="196">
        <f t="shared" si="44"/>
        <v>0.58512295081967225</v>
      </c>
      <c r="AE77" s="199">
        <f t="shared" si="44"/>
        <v>0.58512295081967225</v>
      </c>
      <c r="AF77" s="201">
        <f t="shared" si="44"/>
        <v>0.66313934426229515</v>
      </c>
      <c r="AG77" s="196">
        <f t="shared" si="44"/>
        <v>0.66313934426229515</v>
      </c>
      <c r="AH77" s="196">
        <f t="shared" si="44"/>
        <v>0.66313934426229515</v>
      </c>
      <c r="AI77" s="196">
        <f t="shared" si="44"/>
        <v>0.66313934426229515</v>
      </c>
      <c r="AJ77" s="196">
        <f t="shared" si="44"/>
        <v>0.66313934426229515</v>
      </c>
      <c r="AK77" s="196">
        <f t="shared" si="44"/>
        <v>0.66313934426229515</v>
      </c>
      <c r="AL77" s="196">
        <f t="shared" si="44"/>
        <v>0.66313934426229515</v>
      </c>
      <c r="AM77" s="196">
        <f t="shared" si="44"/>
        <v>0.66313934426229515</v>
      </c>
      <c r="AN77" s="196">
        <f t="shared" si="44"/>
        <v>0.66313934426229515</v>
      </c>
      <c r="AO77" s="196">
        <f t="shared" si="44"/>
        <v>0.66313934426229515</v>
      </c>
      <c r="AP77" s="196">
        <f t="shared" si="44"/>
        <v>0.66313934426229515</v>
      </c>
      <c r="AQ77" s="258">
        <f t="shared" si="44"/>
        <v>0.66313934426229515</v>
      </c>
    </row>
    <row r="78" spans="2:43" s="115" customFormat="1" x14ac:dyDescent="0.25">
      <c r="B78" s="247" t="s">
        <v>84</v>
      </c>
      <c r="C78" s="211">
        <f>ROUND(Kainos!F126,2)</f>
        <v>109.27</v>
      </c>
      <c r="D78" s="203">
        <f t="shared" ref="D78:AQ78" si="45">+$C$78*D70</f>
        <v>29.885046448087429</v>
      </c>
      <c r="E78" s="196">
        <f t="shared" si="45"/>
        <v>29.885046448087429</v>
      </c>
      <c r="F78" s="196">
        <f t="shared" si="45"/>
        <v>30.213453551912572</v>
      </c>
      <c r="G78" s="199">
        <f t="shared" si="45"/>
        <v>30.213453551912572</v>
      </c>
      <c r="H78" s="203">
        <f t="shared" si="45"/>
        <v>11.568886612021856</v>
      </c>
      <c r="I78" s="196">
        <f t="shared" si="45"/>
        <v>10.822506830601093</v>
      </c>
      <c r="J78" s="196">
        <f t="shared" si="45"/>
        <v>11.568886612021856</v>
      </c>
      <c r="K78" s="196">
        <f t="shared" si="45"/>
        <v>11.195696721311474</v>
      </c>
      <c r="L78" s="196">
        <f t="shared" si="45"/>
        <v>11.568886612021856</v>
      </c>
      <c r="M78" s="196">
        <f t="shared" si="45"/>
        <v>11.195696721311474</v>
      </c>
      <c r="N78" s="196">
        <f t="shared" si="45"/>
        <v>11.568886612021856</v>
      </c>
      <c r="O78" s="196">
        <f t="shared" si="45"/>
        <v>11.568886612021856</v>
      </c>
      <c r="P78" s="196">
        <f t="shared" si="45"/>
        <v>11.195696721311474</v>
      </c>
      <c r="Q78" s="196">
        <f t="shared" si="45"/>
        <v>11.568886612021856</v>
      </c>
      <c r="R78" s="196">
        <f t="shared" si="45"/>
        <v>11.195696721311474</v>
      </c>
      <c r="S78" s="199">
        <f t="shared" si="45"/>
        <v>11.568886612021856</v>
      </c>
      <c r="T78" s="203">
        <f t="shared" si="45"/>
        <v>0.44782786885245901</v>
      </c>
      <c r="U78" s="196">
        <f t="shared" si="45"/>
        <v>0.44782786885245901</v>
      </c>
      <c r="V78" s="196">
        <f t="shared" si="45"/>
        <v>0.44782786885245901</v>
      </c>
      <c r="W78" s="196">
        <f t="shared" si="45"/>
        <v>0.44782786885245901</v>
      </c>
      <c r="X78" s="196">
        <f t="shared" si="45"/>
        <v>0.44782786885245901</v>
      </c>
      <c r="Y78" s="196">
        <f t="shared" si="45"/>
        <v>0.44782786885245901</v>
      </c>
      <c r="Z78" s="196">
        <f t="shared" si="45"/>
        <v>0.44782786885245901</v>
      </c>
      <c r="AA78" s="196">
        <f t="shared" si="45"/>
        <v>0.44782786885245901</v>
      </c>
      <c r="AB78" s="196">
        <f t="shared" si="45"/>
        <v>0.44782786885245901</v>
      </c>
      <c r="AC78" s="196">
        <f t="shared" si="45"/>
        <v>0.44782786885245901</v>
      </c>
      <c r="AD78" s="196">
        <f t="shared" si="45"/>
        <v>0.44782786885245901</v>
      </c>
      <c r="AE78" s="199">
        <f t="shared" si="45"/>
        <v>0.44782786885245901</v>
      </c>
      <c r="AF78" s="201">
        <f t="shared" si="45"/>
        <v>0.50753825136612019</v>
      </c>
      <c r="AG78" s="196">
        <f t="shared" si="45"/>
        <v>0.50753825136612019</v>
      </c>
      <c r="AH78" s="196">
        <f t="shared" si="45"/>
        <v>0.50753825136612019</v>
      </c>
      <c r="AI78" s="196">
        <f t="shared" si="45"/>
        <v>0.50753825136612019</v>
      </c>
      <c r="AJ78" s="196">
        <f t="shared" si="45"/>
        <v>0.50753825136612019</v>
      </c>
      <c r="AK78" s="196">
        <f t="shared" si="45"/>
        <v>0.50753825136612019</v>
      </c>
      <c r="AL78" s="196">
        <f t="shared" si="45"/>
        <v>0.50753825136612019</v>
      </c>
      <c r="AM78" s="196">
        <f t="shared" si="45"/>
        <v>0.50753825136612019</v>
      </c>
      <c r="AN78" s="196">
        <f t="shared" si="45"/>
        <v>0.50753825136612019</v>
      </c>
      <c r="AO78" s="196">
        <f t="shared" si="45"/>
        <v>0.50753825136612019</v>
      </c>
      <c r="AP78" s="196">
        <f t="shared" si="45"/>
        <v>0.50753825136612019</v>
      </c>
      <c r="AQ78" s="258">
        <f t="shared" si="45"/>
        <v>0.50753825136612019</v>
      </c>
    </row>
    <row r="79" spans="2:43" s="115" customFormat="1" x14ac:dyDescent="0.25">
      <c r="B79" s="247" t="s">
        <v>85</v>
      </c>
      <c r="C79" s="211">
        <f>ROUND(Kainos!F127,2)</f>
        <v>40.549999999999997</v>
      </c>
      <c r="D79" s="203">
        <f t="shared" ref="D79:AQ79" si="46">+$C$79*D71</f>
        <v>18.903944672131146</v>
      </c>
      <c r="E79" s="196">
        <f t="shared" si="46"/>
        <v>8.8218408469945349</v>
      </c>
      <c r="F79" s="196">
        <f t="shared" si="46"/>
        <v>6.2431489071038255</v>
      </c>
      <c r="G79" s="199">
        <f t="shared" si="46"/>
        <v>16.690867486338799</v>
      </c>
      <c r="H79" s="203">
        <f t="shared" si="46"/>
        <v>8.912690573770492</v>
      </c>
      <c r="I79" s="196">
        <f t="shared" si="46"/>
        <v>6.5544754098360656</v>
      </c>
      <c r="J79" s="196">
        <f t="shared" si="46"/>
        <v>7.1610635245901628</v>
      </c>
      <c r="K79" s="196">
        <f t="shared" si="46"/>
        <v>4.4372336065573768</v>
      </c>
      <c r="L79" s="196">
        <f t="shared" si="46"/>
        <v>3.6062909836065566</v>
      </c>
      <c r="M79" s="196">
        <f t="shared" si="46"/>
        <v>2.6423975409836067</v>
      </c>
      <c r="N79" s="196">
        <f t="shared" si="46"/>
        <v>2.2152930327868852</v>
      </c>
      <c r="O79" s="196">
        <f t="shared" si="46"/>
        <v>2.4728852459016393</v>
      </c>
      <c r="P79" s="196">
        <f t="shared" si="46"/>
        <v>2.7919672131147539</v>
      </c>
      <c r="Q79" s="196">
        <f t="shared" si="46"/>
        <v>5.0488073770491795</v>
      </c>
      <c r="R79" s="196">
        <f t="shared" si="46"/>
        <v>6.381639344262295</v>
      </c>
      <c r="S79" s="199">
        <f t="shared" si="46"/>
        <v>8.5520614754098343</v>
      </c>
      <c r="T79" s="203">
        <f t="shared" si="46"/>
        <v>0.57501229508196716</v>
      </c>
      <c r="U79" s="196">
        <f t="shared" si="46"/>
        <v>0.4520327868852459</v>
      </c>
      <c r="V79" s="196">
        <f t="shared" si="46"/>
        <v>0.4620040983606557</v>
      </c>
      <c r="W79" s="196">
        <f t="shared" si="46"/>
        <v>0.29581557377049178</v>
      </c>
      <c r="X79" s="196">
        <f t="shared" si="46"/>
        <v>0.23266393442622949</v>
      </c>
      <c r="Y79" s="196">
        <f t="shared" si="46"/>
        <v>0.17615983606557375</v>
      </c>
      <c r="Z79" s="196">
        <f t="shared" si="46"/>
        <v>0.14292213114754099</v>
      </c>
      <c r="AA79" s="196">
        <f t="shared" si="46"/>
        <v>0.15954098360655736</v>
      </c>
      <c r="AB79" s="196">
        <f t="shared" si="46"/>
        <v>0.18613114754098362</v>
      </c>
      <c r="AC79" s="196">
        <f t="shared" si="46"/>
        <v>0.32572950819672131</v>
      </c>
      <c r="AD79" s="196">
        <f t="shared" si="46"/>
        <v>0.42544262295081964</v>
      </c>
      <c r="AE79" s="199">
        <f t="shared" si="46"/>
        <v>0.55174590163934423</v>
      </c>
      <c r="AF79" s="201">
        <f t="shared" si="46"/>
        <v>0.57501229508196716</v>
      </c>
      <c r="AG79" s="196">
        <f t="shared" si="46"/>
        <v>0.4520327868852459</v>
      </c>
      <c r="AH79" s="196">
        <f t="shared" si="46"/>
        <v>0.4620040983606557</v>
      </c>
      <c r="AI79" s="196">
        <f t="shared" si="46"/>
        <v>0.29581557377049178</v>
      </c>
      <c r="AJ79" s="196">
        <f t="shared" si="46"/>
        <v>0.23266393442622949</v>
      </c>
      <c r="AK79" s="196">
        <f t="shared" si="46"/>
        <v>0.17615983606557375</v>
      </c>
      <c r="AL79" s="196">
        <f t="shared" si="46"/>
        <v>0.14292213114754099</v>
      </c>
      <c r="AM79" s="196">
        <f t="shared" si="46"/>
        <v>0.15954098360655736</v>
      </c>
      <c r="AN79" s="196">
        <f t="shared" si="46"/>
        <v>0.18613114754098362</v>
      </c>
      <c r="AO79" s="196">
        <f t="shared" si="46"/>
        <v>0.32572950819672131</v>
      </c>
      <c r="AP79" s="196">
        <f t="shared" si="46"/>
        <v>0.42544262295081964</v>
      </c>
      <c r="AQ79" s="258">
        <f t="shared" si="46"/>
        <v>0.55174590163934423</v>
      </c>
    </row>
    <row r="80" spans="2:43" s="115" customFormat="1" x14ac:dyDescent="0.25">
      <c r="B80" s="247" t="s">
        <v>137</v>
      </c>
      <c r="C80" s="211">
        <f>ROUND(Kainos!F128,2)</f>
        <v>109.27</v>
      </c>
      <c r="D80" s="203">
        <f t="shared" ref="D80:AQ80" si="47">+$C$80*D70</f>
        <v>29.885046448087429</v>
      </c>
      <c r="E80" s="196">
        <f t="shared" si="47"/>
        <v>29.885046448087429</v>
      </c>
      <c r="F80" s="196">
        <f t="shared" si="47"/>
        <v>30.213453551912572</v>
      </c>
      <c r="G80" s="199">
        <f t="shared" si="47"/>
        <v>30.213453551912572</v>
      </c>
      <c r="H80" s="203">
        <f t="shared" si="47"/>
        <v>11.568886612021856</v>
      </c>
      <c r="I80" s="196">
        <f t="shared" si="47"/>
        <v>10.822506830601093</v>
      </c>
      <c r="J80" s="196">
        <f t="shared" si="47"/>
        <v>11.568886612021856</v>
      </c>
      <c r="K80" s="196">
        <f t="shared" si="47"/>
        <v>11.195696721311474</v>
      </c>
      <c r="L80" s="196">
        <f t="shared" si="47"/>
        <v>11.568886612021856</v>
      </c>
      <c r="M80" s="196">
        <f t="shared" si="47"/>
        <v>11.195696721311474</v>
      </c>
      <c r="N80" s="196">
        <f t="shared" si="47"/>
        <v>11.568886612021856</v>
      </c>
      <c r="O80" s="196">
        <f t="shared" si="47"/>
        <v>11.568886612021856</v>
      </c>
      <c r="P80" s="196">
        <f t="shared" si="47"/>
        <v>11.195696721311474</v>
      </c>
      <c r="Q80" s="196">
        <f t="shared" si="47"/>
        <v>11.568886612021856</v>
      </c>
      <c r="R80" s="196">
        <f t="shared" si="47"/>
        <v>11.195696721311474</v>
      </c>
      <c r="S80" s="199">
        <f t="shared" si="47"/>
        <v>11.568886612021856</v>
      </c>
      <c r="T80" s="203">
        <f t="shared" si="47"/>
        <v>0.44782786885245901</v>
      </c>
      <c r="U80" s="196">
        <f t="shared" si="47"/>
        <v>0.44782786885245901</v>
      </c>
      <c r="V80" s="196">
        <f t="shared" si="47"/>
        <v>0.44782786885245901</v>
      </c>
      <c r="W80" s="196">
        <f t="shared" si="47"/>
        <v>0.44782786885245901</v>
      </c>
      <c r="X80" s="196">
        <f t="shared" si="47"/>
        <v>0.44782786885245901</v>
      </c>
      <c r="Y80" s="196">
        <f t="shared" si="47"/>
        <v>0.44782786885245901</v>
      </c>
      <c r="Z80" s="196">
        <f t="shared" si="47"/>
        <v>0.44782786885245901</v>
      </c>
      <c r="AA80" s="196">
        <f t="shared" si="47"/>
        <v>0.44782786885245901</v>
      </c>
      <c r="AB80" s="196">
        <f t="shared" si="47"/>
        <v>0.44782786885245901</v>
      </c>
      <c r="AC80" s="196">
        <f t="shared" si="47"/>
        <v>0.44782786885245901</v>
      </c>
      <c r="AD80" s="196">
        <f t="shared" si="47"/>
        <v>0.44782786885245901</v>
      </c>
      <c r="AE80" s="199">
        <f t="shared" si="47"/>
        <v>0.44782786885245901</v>
      </c>
      <c r="AF80" s="201">
        <f t="shared" si="47"/>
        <v>0.50753825136612019</v>
      </c>
      <c r="AG80" s="196">
        <f t="shared" si="47"/>
        <v>0.50753825136612019</v>
      </c>
      <c r="AH80" s="196">
        <f t="shared" si="47"/>
        <v>0.50753825136612019</v>
      </c>
      <c r="AI80" s="196">
        <f t="shared" si="47"/>
        <v>0.50753825136612019</v>
      </c>
      <c r="AJ80" s="196">
        <f t="shared" si="47"/>
        <v>0.50753825136612019</v>
      </c>
      <c r="AK80" s="196">
        <f t="shared" si="47"/>
        <v>0.50753825136612019</v>
      </c>
      <c r="AL80" s="196">
        <f t="shared" si="47"/>
        <v>0.50753825136612019</v>
      </c>
      <c r="AM80" s="196">
        <f t="shared" si="47"/>
        <v>0.50753825136612019</v>
      </c>
      <c r="AN80" s="196">
        <f t="shared" si="47"/>
        <v>0.50753825136612019</v>
      </c>
      <c r="AO80" s="196">
        <f t="shared" si="47"/>
        <v>0.50753825136612019</v>
      </c>
      <c r="AP80" s="196">
        <f t="shared" si="47"/>
        <v>0.50753825136612019</v>
      </c>
      <c r="AQ80" s="258">
        <f t="shared" si="47"/>
        <v>0.50753825136612019</v>
      </c>
    </row>
    <row r="81" spans="2:43" s="115" customFormat="1" x14ac:dyDescent="0.25">
      <c r="B81" s="247" t="s">
        <v>86</v>
      </c>
      <c r="C81" s="211">
        <f>ROUND(Kainos!F132,2)</f>
        <v>107.93</v>
      </c>
      <c r="D81" s="203">
        <f t="shared" ref="D81:AQ81" si="48">+$C$81*D72</f>
        <v>50.315727459016394</v>
      </c>
      <c r="E81" s="196">
        <f t="shared" si="48"/>
        <v>23.480672814207651</v>
      </c>
      <c r="F81" s="196">
        <f t="shared" si="48"/>
        <v>16.617091530054648</v>
      </c>
      <c r="G81" s="199">
        <f t="shared" si="48"/>
        <v>44.425285519125694</v>
      </c>
      <c r="H81" s="203">
        <f t="shared" si="48"/>
        <v>23.722483196721313</v>
      </c>
      <c r="I81" s="196">
        <f t="shared" si="48"/>
        <v>17.44573442622951</v>
      </c>
      <c r="J81" s="196">
        <f t="shared" si="48"/>
        <v>19.060261065573769</v>
      </c>
      <c r="K81" s="196">
        <f t="shared" si="48"/>
        <v>11.810372950819673</v>
      </c>
      <c r="L81" s="196">
        <f t="shared" si="48"/>
        <v>9.5986926229508196</v>
      </c>
      <c r="M81" s="196">
        <f t="shared" si="48"/>
        <v>7.0331434426229524</v>
      </c>
      <c r="N81" s="196">
        <f t="shared" si="48"/>
        <v>5.8963397540983618</v>
      </c>
      <c r="O81" s="196">
        <f t="shared" si="48"/>
        <v>6.5819606557377055</v>
      </c>
      <c r="P81" s="196">
        <f t="shared" si="48"/>
        <v>7.4312459016393451</v>
      </c>
      <c r="Q81" s="196">
        <f t="shared" si="48"/>
        <v>13.438169672131147</v>
      </c>
      <c r="R81" s="196">
        <f t="shared" si="48"/>
        <v>16.985704918032788</v>
      </c>
      <c r="S81" s="199">
        <f t="shared" si="48"/>
        <v>22.762613934426231</v>
      </c>
      <c r="T81" s="203">
        <f t="shared" si="48"/>
        <v>1.5304827868852462</v>
      </c>
      <c r="U81" s="196">
        <f t="shared" si="48"/>
        <v>1.2031540983606559</v>
      </c>
      <c r="V81" s="196">
        <f t="shared" si="48"/>
        <v>1.2296942622950819</v>
      </c>
      <c r="W81" s="196">
        <f t="shared" si="48"/>
        <v>0.78735819672131158</v>
      </c>
      <c r="X81" s="196">
        <f t="shared" si="48"/>
        <v>0.61927049180327876</v>
      </c>
      <c r="Y81" s="196">
        <f t="shared" si="48"/>
        <v>0.46887622950819674</v>
      </c>
      <c r="Z81" s="196">
        <f t="shared" si="48"/>
        <v>0.38040901639344266</v>
      </c>
      <c r="AA81" s="196">
        <f t="shared" si="48"/>
        <v>0.42464262295081973</v>
      </c>
      <c r="AB81" s="196">
        <f t="shared" si="48"/>
        <v>0.49541639344262306</v>
      </c>
      <c r="AC81" s="196">
        <f t="shared" si="48"/>
        <v>0.86697868852459037</v>
      </c>
      <c r="AD81" s="196">
        <f t="shared" si="48"/>
        <v>1.1323803278688525</v>
      </c>
      <c r="AE81" s="199">
        <f t="shared" si="48"/>
        <v>1.4685557377049181</v>
      </c>
      <c r="AF81" s="201">
        <f t="shared" si="48"/>
        <v>1.5304827868852462</v>
      </c>
      <c r="AG81" s="196">
        <f t="shared" si="48"/>
        <v>1.2031540983606559</v>
      </c>
      <c r="AH81" s="196">
        <f t="shared" si="48"/>
        <v>1.2296942622950819</v>
      </c>
      <c r="AI81" s="196">
        <f t="shared" si="48"/>
        <v>0.78735819672131158</v>
      </c>
      <c r="AJ81" s="196">
        <f t="shared" si="48"/>
        <v>0.61927049180327876</v>
      </c>
      <c r="AK81" s="196">
        <f t="shared" si="48"/>
        <v>0.46887622950819674</v>
      </c>
      <c r="AL81" s="196">
        <f t="shared" si="48"/>
        <v>0.38040901639344266</v>
      </c>
      <c r="AM81" s="196">
        <f t="shared" si="48"/>
        <v>0.42464262295081973</v>
      </c>
      <c r="AN81" s="196">
        <f t="shared" si="48"/>
        <v>0.49541639344262306</v>
      </c>
      <c r="AO81" s="196">
        <f t="shared" si="48"/>
        <v>0.86697868852459037</v>
      </c>
      <c r="AP81" s="196">
        <f t="shared" si="48"/>
        <v>1.1323803278688525</v>
      </c>
      <c r="AQ81" s="258">
        <f t="shared" si="48"/>
        <v>1.4685557377049181</v>
      </c>
    </row>
    <row r="82" spans="2:43" s="115" customFormat="1" ht="15.75" thickBot="1" x14ac:dyDescent="0.3">
      <c r="B82" s="248" t="s">
        <v>147</v>
      </c>
      <c r="C82" s="260">
        <f>ROUND(Kainos!F133,2)</f>
        <v>70.28</v>
      </c>
      <c r="D82" s="261">
        <f t="shared" ref="D82:AQ82" si="49">+$C$82*D72</f>
        <v>32.763729508196718</v>
      </c>
      <c r="E82" s="262">
        <f t="shared" si="49"/>
        <v>15.289740437158468</v>
      </c>
      <c r="F82" s="262">
        <f t="shared" si="49"/>
        <v>10.820431693989072</v>
      </c>
      <c r="G82" s="263">
        <f t="shared" si="49"/>
        <v>28.928092896174867</v>
      </c>
      <c r="H82" s="261">
        <f t="shared" si="49"/>
        <v>15.447198360655738</v>
      </c>
      <c r="I82" s="262">
        <f t="shared" si="49"/>
        <v>11.3600131147541</v>
      </c>
      <c r="J82" s="262">
        <f t="shared" si="49"/>
        <v>12.411332786885245</v>
      </c>
      <c r="K82" s="262">
        <f t="shared" si="49"/>
        <v>7.6904754098360657</v>
      </c>
      <c r="L82" s="262">
        <f t="shared" si="49"/>
        <v>6.2503114754098359</v>
      </c>
      <c r="M82" s="262">
        <f t="shared" si="49"/>
        <v>4.5797213114754109</v>
      </c>
      <c r="N82" s="262">
        <f t="shared" si="49"/>
        <v>3.8394770491803283</v>
      </c>
      <c r="O82" s="262">
        <f t="shared" si="49"/>
        <v>4.2859278688524594</v>
      </c>
      <c r="P82" s="262">
        <f t="shared" si="49"/>
        <v>4.8389508196721316</v>
      </c>
      <c r="Q82" s="262">
        <f t="shared" si="49"/>
        <v>8.750436065573771</v>
      </c>
      <c r="R82" s="262">
        <f t="shared" si="49"/>
        <v>11.060459016393445</v>
      </c>
      <c r="S82" s="263">
        <f t="shared" si="49"/>
        <v>14.822167213114755</v>
      </c>
      <c r="T82" s="261">
        <f t="shared" si="49"/>
        <v>0.99659344262295091</v>
      </c>
      <c r="U82" s="262">
        <f t="shared" si="49"/>
        <v>0.78344918032786892</v>
      </c>
      <c r="V82" s="262">
        <f t="shared" si="49"/>
        <v>0.80073114754098362</v>
      </c>
      <c r="W82" s="262">
        <f t="shared" si="49"/>
        <v>0.51269836065573771</v>
      </c>
      <c r="X82" s="262">
        <f t="shared" si="49"/>
        <v>0.40324590163934426</v>
      </c>
      <c r="Y82" s="262">
        <f t="shared" si="49"/>
        <v>0.30531475409836067</v>
      </c>
      <c r="Z82" s="262">
        <f t="shared" si="49"/>
        <v>0.2477081967213115</v>
      </c>
      <c r="AA82" s="262">
        <f t="shared" si="49"/>
        <v>0.27651147540983606</v>
      </c>
      <c r="AB82" s="262">
        <f t="shared" si="49"/>
        <v>0.32259672131147549</v>
      </c>
      <c r="AC82" s="262">
        <f t="shared" si="49"/>
        <v>0.56454426229508203</v>
      </c>
      <c r="AD82" s="262">
        <f t="shared" si="49"/>
        <v>0.73736393442622949</v>
      </c>
      <c r="AE82" s="263">
        <f t="shared" si="49"/>
        <v>0.95626885245901638</v>
      </c>
      <c r="AF82" s="264">
        <f t="shared" si="49"/>
        <v>0.99659344262295091</v>
      </c>
      <c r="AG82" s="262">
        <f t="shared" si="49"/>
        <v>0.78344918032786892</v>
      </c>
      <c r="AH82" s="262">
        <f t="shared" si="49"/>
        <v>0.80073114754098362</v>
      </c>
      <c r="AI82" s="262">
        <f t="shared" si="49"/>
        <v>0.51269836065573771</v>
      </c>
      <c r="AJ82" s="262">
        <f t="shared" si="49"/>
        <v>0.40324590163934426</v>
      </c>
      <c r="AK82" s="262">
        <f t="shared" si="49"/>
        <v>0.30531475409836067</v>
      </c>
      <c r="AL82" s="262">
        <f t="shared" si="49"/>
        <v>0.2477081967213115</v>
      </c>
      <c r="AM82" s="262">
        <f t="shared" si="49"/>
        <v>0.27651147540983606</v>
      </c>
      <c r="AN82" s="262">
        <f t="shared" si="49"/>
        <v>0.32259672131147549</v>
      </c>
      <c r="AO82" s="262">
        <f t="shared" si="49"/>
        <v>0.56454426229508203</v>
      </c>
      <c r="AP82" s="262">
        <f t="shared" si="49"/>
        <v>0.73736393442622949</v>
      </c>
      <c r="AQ82" s="265">
        <f t="shared" si="49"/>
        <v>0.95626885245901638</v>
      </c>
    </row>
    <row r="83" spans="2:43" s="115" customFormat="1" ht="15.75" x14ac:dyDescent="0.25">
      <c r="B83" s="337" t="s">
        <v>191</v>
      </c>
      <c r="C83" s="338"/>
      <c r="D83" s="338"/>
      <c r="E83" s="338"/>
      <c r="F83" s="338"/>
      <c r="G83" s="338"/>
      <c r="H83" s="338"/>
      <c r="I83" s="338"/>
      <c r="J83" s="338"/>
      <c r="K83" s="338"/>
      <c r="L83" s="338"/>
      <c r="M83" s="338"/>
      <c r="N83" s="338"/>
      <c r="O83" s="338"/>
      <c r="P83" s="338"/>
      <c r="Q83" s="338"/>
      <c r="R83" s="338"/>
      <c r="S83" s="338"/>
      <c r="T83" s="338"/>
      <c r="U83" s="338"/>
      <c r="V83" s="338"/>
      <c r="W83" s="338"/>
      <c r="X83" s="338"/>
      <c r="Y83" s="338"/>
      <c r="Z83" s="338"/>
      <c r="AA83" s="338"/>
      <c r="AB83" s="338"/>
      <c r="AC83" s="338"/>
      <c r="AD83" s="338"/>
      <c r="AE83" s="338"/>
      <c r="AF83" s="338"/>
      <c r="AG83" s="338"/>
      <c r="AH83" s="338"/>
      <c r="AI83" s="338"/>
      <c r="AJ83" s="338"/>
      <c r="AK83" s="338"/>
      <c r="AL83" s="338"/>
      <c r="AM83" s="338"/>
      <c r="AN83" s="338"/>
      <c r="AO83" s="338"/>
      <c r="AP83" s="338"/>
      <c r="AQ83" s="339"/>
    </row>
    <row r="84" spans="2:43" s="115" customFormat="1" x14ac:dyDescent="0.25">
      <c r="B84" s="256"/>
      <c r="C84" s="340" t="s">
        <v>79</v>
      </c>
      <c r="D84" s="343" t="s">
        <v>75</v>
      </c>
      <c r="E84" s="344"/>
      <c r="F84" s="344"/>
      <c r="G84" s="345"/>
      <c r="H84" s="343" t="s">
        <v>76</v>
      </c>
      <c r="I84" s="344"/>
      <c r="J84" s="344"/>
      <c r="K84" s="344"/>
      <c r="L84" s="344"/>
      <c r="M84" s="344"/>
      <c r="N84" s="344"/>
      <c r="O84" s="344"/>
      <c r="P84" s="344"/>
      <c r="Q84" s="344"/>
      <c r="R84" s="344"/>
      <c r="S84" s="345"/>
      <c r="T84" s="343" t="s">
        <v>77</v>
      </c>
      <c r="U84" s="344"/>
      <c r="V84" s="344"/>
      <c r="W84" s="344"/>
      <c r="X84" s="344"/>
      <c r="Y84" s="344"/>
      <c r="Z84" s="344"/>
      <c r="AA84" s="344"/>
      <c r="AB84" s="344"/>
      <c r="AC84" s="344"/>
      <c r="AD84" s="344"/>
      <c r="AE84" s="345"/>
      <c r="AF84" s="346" t="s">
        <v>78</v>
      </c>
      <c r="AG84" s="344"/>
      <c r="AH84" s="344"/>
      <c r="AI84" s="344"/>
      <c r="AJ84" s="344"/>
      <c r="AK84" s="344"/>
      <c r="AL84" s="344"/>
      <c r="AM84" s="344"/>
      <c r="AN84" s="344"/>
      <c r="AO84" s="344"/>
      <c r="AP84" s="344"/>
      <c r="AQ84" s="347"/>
    </row>
    <row r="85" spans="2:43" s="115" customFormat="1" x14ac:dyDescent="0.25">
      <c r="B85" s="245" t="s">
        <v>72</v>
      </c>
      <c r="C85" s="341"/>
      <c r="D85" s="226" t="s">
        <v>46</v>
      </c>
      <c r="E85" s="309" t="s">
        <v>47</v>
      </c>
      <c r="F85" s="309" t="s">
        <v>48</v>
      </c>
      <c r="G85" s="308" t="s">
        <v>49</v>
      </c>
      <c r="H85" s="226" t="s">
        <v>13</v>
      </c>
      <c r="I85" s="309" t="s">
        <v>14</v>
      </c>
      <c r="J85" s="309" t="s">
        <v>15</v>
      </c>
      <c r="K85" s="309" t="s">
        <v>16</v>
      </c>
      <c r="L85" s="309" t="s">
        <v>17</v>
      </c>
      <c r="M85" s="309" t="s">
        <v>18</v>
      </c>
      <c r="N85" s="309" t="s">
        <v>19</v>
      </c>
      <c r="O85" s="309" t="s">
        <v>20</v>
      </c>
      <c r="P85" s="309" t="s">
        <v>21</v>
      </c>
      <c r="Q85" s="309" t="s">
        <v>22</v>
      </c>
      <c r="R85" s="309" t="s">
        <v>23</v>
      </c>
      <c r="S85" s="308" t="s">
        <v>24</v>
      </c>
      <c r="T85" s="226" t="s">
        <v>13</v>
      </c>
      <c r="U85" s="309" t="s">
        <v>14</v>
      </c>
      <c r="V85" s="309" t="s">
        <v>15</v>
      </c>
      <c r="W85" s="309" t="s">
        <v>16</v>
      </c>
      <c r="X85" s="309" t="s">
        <v>17</v>
      </c>
      <c r="Y85" s="309" t="s">
        <v>18</v>
      </c>
      <c r="Z85" s="309" t="s">
        <v>19</v>
      </c>
      <c r="AA85" s="309" t="s">
        <v>20</v>
      </c>
      <c r="AB85" s="309" t="s">
        <v>21</v>
      </c>
      <c r="AC85" s="309" t="s">
        <v>22</v>
      </c>
      <c r="AD85" s="309" t="s">
        <v>23</v>
      </c>
      <c r="AE85" s="308" t="s">
        <v>24</v>
      </c>
      <c r="AF85" s="227" t="s">
        <v>13</v>
      </c>
      <c r="AG85" s="309" t="s">
        <v>14</v>
      </c>
      <c r="AH85" s="309" t="s">
        <v>15</v>
      </c>
      <c r="AI85" s="309" t="s">
        <v>16</v>
      </c>
      <c r="AJ85" s="309" t="s">
        <v>17</v>
      </c>
      <c r="AK85" s="309" t="s">
        <v>18</v>
      </c>
      <c r="AL85" s="309" t="s">
        <v>19</v>
      </c>
      <c r="AM85" s="309" t="s">
        <v>20</v>
      </c>
      <c r="AN85" s="309" t="s">
        <v>21</v>
      </c>
      <c r="AO85" s="309" t="s">
        <v>22</v>
      </c>
      <c r="AP85" s="309" t="s">
        <v>23</v>
      </c>
      <c r="AQ85" s="246" t="s">
        <v>24</v>
      </c>
    </row>
    <row r="86" spans="2:43" s="115" customFormat="1" x14ac:dyDescent="0.25">
      <c r="B86" s="245" t="s">
        <v>73</v>
      </c>
      <c r="C86" s="341"/>
      <c r="D86" s="202">
        <f>1/$C$13*D13*$D$23</f>
        <v>0.27123287671232882</v>
      </c>
      <c r="E86" s="197">
        <f>1/$C$13*E13*$D$23</f>
        <v>0.27424657534246577</v>
      </c>
      <c r="F86" s="197">
        <f>1/$C$13*F13*$D$23</f>
        <v>0.27726027397260278</v>
      </c>
      <c r="G86" s="197">
        <f>1/$C$13*G13*$D$23</f>
        <v>0.27726027397260278</v>
      </c>
      <c r="H86" s="202">
        <f t="shared" ref="H86:S86" si="50">1/$C$13*H13*$E$23</f>
        <v>0.10616438356164383</v>
      </c>
      <c r="I86" s="200">
        <f t="shared" si="50"/>
        <v>9.5890410958904118E-2</v>
      </c>
      <c r="J86" s="200">
        <f t="shared" si="50"/>
        <v>0.10616438356164383</v>
      </c>
      <c r="K86" s="200">
        <f t="shared" si="50"/>
        <v>0.10273972602739725</v>
      </c>
      <c r="L86" s="200">
        <f t="shared" si="50"/>
        <v>0.10616438356164383</v>
      </c>
      <c r="M86" s="200">
        <f t="shared" si="50"/>
        <v>0.10273972602739725</v>
      </c>
      <c r="N86" s="200">
        <f t="shared" si="50"/>
        <v>0.10616438356164383</v>
      </c>
      <c r="O86" s="200">
        <f t="shared" si="50"/>
        <v>0.10616438356164383</v>
      </c>
      <c r="P86" s="200">
        <f t="shared" si="50"/>
        <v>0.10273972602739725</v>
      </c>
      <c r="Q86" s="200">
        <f t="shared" si="50"/>
        <v>0.10616438356164383</v>
      </c>
      <c r="R86" s="200">
        <f t="shared" si="50"/>
        <v>0.10273972602739725</v>
      </c>
      <c r="S86" s="198">
        <f t="shared" si="50"/>
        <v>0.10616438356164383</v>
      </c>
      <c r="T86" s="200">
        <f t="shared" ref="T86:AE86" si="51">1/$C$13*$F$23</f>
        <v>4.1095890410958909E-3</v>
      </c>
      <c r="U86" s="200">
        <f t="shared" si="51"/>
        <v>4.1095890410958909E-3</v>
      </c>
      <c r="V86" s="200">
        <f t="shared" si="51"/>
        <v>4.1095890410958909E-3</v>
      </c>
      <c r="W86" s="200">
        <f t="shared" si="51"/>
        <v>4.1095890410958909E-3</v>
      </c>
      <c r="X86" s="200">
        <f t="shared" si="51"/>
        <v>4.1095890410958909E-3</v>
      </c>
      <c r="Y86" s="200">
        <f t="shared" si="51"/>
        <v>4.1095890410958909E-3</v>
      </c>
      <c r="Z86" s="200">
        <f t="shared" si="51"/>
        <v>4.1095890410958909E-3</v>
      </c>
      <c r="AA86" s="200">
        <f t="shared" si="51"/>
        <v>4.1095890410958909E-3</v>
      </c>
      <c r="AB86" s="200">
        <f t="shared" si="51"/>
        <v>4.1095890410958909E-3</v>
      </c>
      <c r="AC86" s="200">
        <f t="shared" si="51"/>
        <v>4.1095890410958909E-3</v>
      </c>
      <c r="AD86" s="200">
        <f t="shared" si="51"/>
        <v>4.1095890410958909E-3</v>
      </c>
      <c r="AE86" s="198">
        <f t="shared" si="51"/>
        <v>4.1095890410958909E-3</v>
      </c>
      <c r="AF86" s="200">
        <f t="shared" ref="AF86:AQ86" si="52">1/$C$13*$G$23</f>
        <v>4.6575342465753422E-3</v>
      </c>
      <c r="AG86" s="200">
        <f t="shared" si="52"/>
        <v>4.6575342465753422E-3</v>
      </c>
      <c r="AH86" s="200">
        <f t="shared" si="52"/>
        <v>4.6575342465753422E-3</v>
      </c>
      <c r="AI86" s="200">
        <f t="shared" si="52"/>
        <v>4.6575342465753422E-3</v>
      </c>
      <c r="AJ86" s="200">
        <f t="shared" si="52"/>
        <v>4.6575342465753422E-3</v>
      </c>
      <c r="AK86" s="200">
        <f t="shared" si="52"/>
        <v>4.6575342465753422E-3</v>
      </c>
      <c r="AL86" s="200">
        <f t="shared" si="52"/>
        <v>4.6575342465753422E-3</v>
      </c>
      <c r="AM86" s="200">
        <f t="shared" si="52"/>
        <v>4.6575342465753422E-3</v>
      </c>
      <c r="AN86" s="200">
        <f t="shared" si="52"/>
        <v>4.6575342465753422E-3</v>
      </c>
      <c r="AO86" s="200">
        <f t="shared" si="52"/>
        <v>4.6575342465753422E-3</v>
      </c>
      <c r="AP86" s="200">
        <f t="shared" si="52"/>
        <v>4.6575342465753422E-3</v>
      </c>
      <c r="AQ86" s="257">
        <f t="shared" si="52"/>
        <v>4.6575342465753422E-3</v>
      </c>
    </row>
    <row r="87" spans="2:43" s="115" customFormat="1" x14ac:dyDescent="0.25">
      <c r="B87" s="245" t="s">
        <v>153</v>
      </c>
      <c r="C87" s="341"/>
      <c r="D87" s="202">
        <f>1/$C$13*D13*$H$23</f>
        <v>0.27123287671232882</v>
      </c>
      <c r="E87" s="197">
        <f>1/$C$13*E13*$H$23</f>
        <v>0.27424657534246577</v>
      </c>
      <c r="F87" s="197">
        <f>1/$C$13*F13*$H$23</f>
        <v>0.27726027397260278</v>
      </c>
      <c r="G87" s="197">
        <f>1/$C$13*G13*$H$23</f>
        <v>0.27726027397260278</v>
      </c>
      <c r="H87" s="202">
        <f t="shared" ref="H87:S87" si="53">1/$C$13*H13*$I$23</f>
        <v>0.10616438356164383</v>
      </c>
      <c r="I87" s="200">
        <f t="shared" si="53"/>
        <v>9.5890410958904118E-2</v>
      </c>
      <c r="J87" s="200">
        <f t="shared" si="53"/>
        <v>0.10616438356164383</v>
      </c>
      <c r="K87" s="200">
        <f t="shared" si="53"/>
        <v>0.10273972602739725</v>
      </c>
      <c r="L87" s="200">
        <f t="shared" si="53"/>
        <v>0.10616438356164383</v>
      </c>
      <c r="M87" s="200">
        <f t="shared" si="53"/>
        <v>0.10273972602739725</v>
      </c>
      <c r="N87" s="200">
        <f t="shared" si="53"/>
        <v>0.10616438356164383</v>
      </c>
      <c r="O87" s="200">
        <f t="shared" si="53"/>
        <v>0.10616438356164383</v>
      </c>
      <c r="P87" s="200">
        <f t="shared" si="53"/>
        <v>0.10273972602739725</v>
      </c>
      <c r="Q87" s="200">
        <f t="shared" si="53"/>
        <v>0.10616438356164383</v>
      </c>
      <c r="R87" s="200">
        <f t="shared" si="53"/>
        <v>0.10273972602739725</v>
      </c>
      <c r="S87" s="198">
        <f t="shared" si="53"/>
        <v>0.10616438356164383</v>
      </c>
      <c r="T87" s="200">
        <f t="shared" ref="T87:AE87" si="54">1/$C$13*$J$23</f>
        <v>4.1095890410958909E-3</v>
      </c>
      <c r="U87" s="200">
        <f t="shared" si="54"/>
        <v>4.1095890410958909E-3</v>
      </c>
      <c r="V87" s="200">
        <f t="shared" si="54"/>
        <v>4.1095890410958909E-3</v>
      </c>
      <c r="W87" s="200">
        <f t="shared" si="54"/>
        <v>4.1095890410958909E-3</v>
      </c>
      <c r="X87" s="200">
        <f t="shared" si="54"/>
        <v>4.1095890410958909E-3</v>
      </c>
      <c r="Y87" s="200">
        <f t="shared" si="54"/>
        <v>4.1095890410958909E-3</v>
      </c>
      <c r="Z87" s="200">
        <f t="shared" si="54"/>
        <v>4.1095890410958909E-3</v>
      </c>
      <c r="AA87" s="200">
        <f t="shared" si="54"/>
        <v>4.1095890410958909E-3</v>
      </c>
      <c r="AB87" s="200">
        <f t="shared" si="54"/>
        <v>4.1095890410958909E-3</v>
      </c>
      <c r="AC87" s="200">
        <f t="shared" si="54"/>
        <v>4.1095890410958909E-3</v>
      </c>
      <c r="AD87" s="200">
        <f t="shared" si="54"/>
        <v>4.1095890410958909E-3</v>
      </c>
      <c r="AE87" s="198">
        <f t="shared" si="54"/>
        <v>4.1095890410958909E-3</v>
      </c>
      <c r="AF87" s="200">
        <f t="shared" ref="AF87:AQ87" si="55">1/$C$13*$K$23</f>
        <v>4.6575342465753422E-3</v>
      </c>
      <c r="AG87" s="200">
        <f t="shared" si="55"/>
        <v>4.6575342465753422E-3</v>
      </c>
      <c r="AH87" s="200">
        <f t="shared" si="55"/>
        <v>4.6575342465753422E-3</v>
      </c>
      <c r="AI87" s="200">
        <f t="shared" si="55"/>
        <v>4.6575342465753422E-3</v>
      </c>
      <c r="AJ87" s="200">
        <f t="shared" si="55"/>
        <v>4.6575342465753422E-3</v>
      </c>
      <c r="AK87" s="200">
        <f t="shared" si="55"/>
        <v>4.6575342465753422E-3</v>
      </c>
      <c r="AL87" s="200">
        <f t="shared" si="55"/>
        <v>4.6575342465753422E-3</v>
      </c>
      <c r="AM87" s="200">
        <f t="shared" si="55"/>
        <v>4.6575342465753422E-3</v>
      </c>
      <c r="AN87" s="200">
        <f t="shared" si="55"/>
        <v>4.6575342465753422E-3</v>
      </c>
      <c r="AO87" s="200">
        <f t="shared" si="55"/>
        <v>4.6575342465753422E-3</v>
      </c>
      <c r="AP87" s="200">
        <f t="shared" si="55"/>
        <v>4.6575342465753422E-3</v>
      </c>
      <c r="AQ87" s="257">
        <f t="shared" si="55"/>
        <v>4.6575342465753422E-3</v>
      </c>
    </row>
    <row r="88" spans="2:43" s="115" customFormat="1" x14ac:dyDescent="0.25">
      <c r="B88" s="245" t="s">
        <v>74</v>
      </c>
      <c r="C88" s="341"/>
      <c r="D88" s="202">
        <f>1/$C$13*D13*$L$23*D44</f>
        <v>0.46232876712328769</v>
      </c>
      <c r="E88" s="197">
        <f>1/$C$13*E13*$L$23*E44</f>
        <v>0.21815068493150686</v>
      </c>
      <c r="F88" s="197">
        <f>1/$C$13*F13*$L$23*F44</f>
        <v>0.15438356164383563</v>
      </c>
      <c r="G88" s="197">
        <f>1/$C$13*G13*$L$23*G44</f>
        <v>0.41273972602739734</v>
      </c>
      <c r="H88" s="202">
        <f t="shared" ref="H88:S88" si="56">1/$C$13*H13*$M$23*H44</f>
        <v>0.22039726027397261</v>
      </c>
      <c r="I88" s="200">
        <f t="shared" si="56"/>
        <v>0.15649315068493153</v>
      </c>
      <c r="J88" s="200">
        <f t="shared" si="56"/>
        <v>0.17708219178082191</v>
      </c>
      <c r="K88" s="200">
        <f t="shared" si="56"/>
        <v>0.10972602739726027</v>
      </c>
      <c r="L88" s="200">
        <f t="shared" si="56"/>
        <v>8.9178082191780819E-2</v>
      </c>
      <c r="M88" s="200">
        <f t="shared" si="56"/>
        <v>6.5342465753424658E-2</v>
      </c>
      <c r="N88" s="200">
        <f t="shared" si="56"/>
        <v>5.4780821917808219E-2</v>
      </c>
      <c r="O88" s="200">
        <f t="shared" si="56"/>
        <v>6.1150684931506848E-2</v>
      </c>
      <c r="P88" s="200">
        <f t="shared" si="56"/>
        <v>6.9041095890410964E-2</v>
      </c>
      <c r="Q88" s="200">
        <f t="shared" si="56"/>
        <v>0.12484931506849316</v>
      </c>
      <c r="R88" s="200">
        <f t="shared" si="56"/>
        <v>0.15780821917808219</v>
      </c>
      <c r="S88" s="198">
        <f t="shared" si="56"/>
        <v>0.21147945205479451</v>
      </c>
      <c r="T88" s="200">
        <f t="shared" ref="T88:AE88" si="57">1/$C$13*$N$23*T44</f>
        <v>1.4219178082191782E-2</v>
      </c>
      <c r="U88" s="200">
        <f t="shared" si="57"/>
        <v>1.1178082191780825E-2</v>
      </c>
      <c r="V88" s="200">
        <f t="shared" si="57"/>
        <v>1.1424657534246575E-2</v>
      </c>
      <c r="W88" s="200">
        <f t="shared" si="57"/>
        <v>7.3150684931506862E-3</v>
      </c>
      <c r="X88" s="200">
        <f t="shared" si="57"/>
        <v>5.7534246575342467E-3</v>
      </c>
      <c r="Y88" s="200">
        <f t="shared" si="57"/>
        <v>4.3561643835616443E-3</v>
      </c>
      <c r="Z88" s="200">
        <f t="shared" si="57"/>
        <v>3.5342465753424659E-3</v>
      </c>
      <c r="AA88" s="200">
        <f t="shared" si="57"/>
        <v>3.9452054794520547E-3</v>
      </c>
      <c r="AB88" s="200">
        <f t="shared" si="57"/>
        <v>4.6027397260273986E-3</v>
      </c>
      <c r="AC88" s="200">
        <f t="shared" si="57"/>
        <v>8.0547945205479456E-3</v>
      </c>
      <c r="AD88" s="200">
        <f t="shared" si="57"/>
        <v>1.0520547945205481E-2</v>
      </c>
      <c r="AE88" s="198">
        <f t="shared" si="57"/>
        <v>1.3643835616438357E-2</v>
      </c>
      <c r="AF88" s="200">
        <f t="shared" ref="AF88:AQ88" si="58">1/$C$13*$N$23*T44</f>
        <v>1.4219178082191782E-2</v>
      </c>
      <c r="AG88" s="200">
        <f t="shared" si="58"/>
        <v>1.1178082191780825E-2</v>
      </c>
      <c r="AH88" s="200">
        <f t="shared" si="58"/>
        <v>1.1424657534246575E-2</v>
      </c>
      <c r="AI88" s="200">
        <f t="shared" si="58"/>
        <v>7.3150684931506862E-3</v>
      </c>
      <c r="AJ88" s="200">
        <f t="shared" si="58"/>
        <v>5.7534246575342467E-3</v>
      </c>
      <c r="AK88" s="200">
        <f t="shared" si="58"/>
        <v>4.3561643835616443E-3</v>
      </c>
      <c r="AL88" s="200">
        <f t="shared" si="58"/>
        <v>3.5342465753424659E-3</v>
      </c>
      <c r="AM88" s="200">
        <f t="shared" si="58"/>
        <v>3.9452054794520547E-3</v>
      </c>
      <c r="AN88" s="200">
        <f t="shared" si="58"/>
        <v>4.6027397260273986E-3</v>
      </c>
      <c r="AO88" s="200">
        <f t="shared" si="58"/>
        <v>8.0547945205479456E-3</v>
      </c>
      <c r="AP88" s="200">
        <f t="shared" si="58"/>
        <v>1.0520547945205481E-2</v>
      </c>
      <c r="AQ88" s="257">
        <f t="shared" si="58"/>
        <v>1.3643835616438357E-2</v>
      </c>
    </row>
    <row r="89" spans="2:43" s="115" customFormat="1" x14ac:dyDescent="0.25">
      <c r="B89" s="245" t="s">
        <v>154</v>
      </c>
      <c r="C89" s="341"/>
      <c r="D89" s="202">
        <f>1/$C$13*D13*$L$23*D34</f>
        <v>0.46232876712328769</v>
      </c>
      <c r="E89" s="197">
        <f>1/$C$13*E13*$L$23*E34</f>
        <v>0.21815068493150686</v>
      </c>
      <c r="F89" s="197">
        <f>1/$C$13*F13*$L$23*F34</f>
        <v>0.15438356164383563</v>
      </c>
      <c r="G89" s="197">
        <f>1/$C$13*G13*$L$23*G34</f>
        <v>0.41273972602739734</v>
      </c>
      <c r="H89" s="202">
        <f t="shared" ref="H89:S89" si="59">1/$C$13*H13*$M$23*H34</f>
        <v>0.22039726027397261</v>
      </c>
      <c r="I89" s="200">
        <f t="shared" si="59"/>
        <v>0.15649315068493153</v>
      </c>
      <c r="J89" s="200">
        <f t="shared" si="59"/>
        <v>0.17708219178082191</v>
      </c>
      <c r="K89" s="200">
        <f t="shared" si="59"/>
        <v>0.10972602739726027</v>
      </c>
      <c r="L89" s="200">
        <f t="shared" si="59"/>
        <v>8.9178082191780819E-2</v>
      </c>
      <c r="M89" s="200">
        <f t="shared" si="59"/>
        <v>6.5342465753424658E-2</v>
      </c>
      <c r="N89" s="200">
        <f t="shared" si="59"/>
        <v>5.4780821917808219E-2</v>
      </c>
      <c r="O89" s="200">
        <f t="shared" si="59"/>
        <v>6.1150684931506848E-2</v>
      </c>
      <c r="P89" s="200">
        <f t="shared" si="59"/>
        <v>6.9041095890410964E-2</v>
      </c>
      <c r="Q89" s="200">
        <f t="shared" si="59"/>
        <v>0.12484931506849316</v>
      </c>
      <c r="R89" s="200">
        <f t="shared" si="59"/>
        <v>0.15780821917808219</v>
      </c>
      <c r="S89" s="198">
        <f t="shared" si="59"/>
        <v>0.21147945205479451</v>
      </c>
      <c r="T89" s="200">
        <f t="shared" ref="T89:AE89" si="60">1/$C$13*$N$23*T34</f>
        <v>1.4219178082191782E-2</v>
      </c>
      <c r="U89" s="200">
        <f t="shared" si="60"/>
        <v>1.1178082191780825E-2</v>
      </c>
      <c r="V89" s="200">
        <f t="shared" si="60"/>
        <v>1.1424657534246575E-2</v>
      </c>
      <c r="W89" s="200">
        <f t="shared" si="60"/>
        <v>7.3150684931506862E-3</v>
      </c>
      <c r="X89" s="200">
        <f t="shared" si="60"/>
        <v>5.7534246575342467E-3</v>
      </c>
      <c r="Y89" s="200">
        <f t="shared" si="60"/>
        <v>4.3561643835616443E-3</v>
      </c>
      <c r="Z89" s="200">
        <f t="shared" si="60"/>
        <v>3.5342465753424659E-3</v>
      </c>
      <c r="AA89" s="200">
        <f t="shared" si="60"/>
        <v>3.9452054794520547E-3</v>
      </c>
      <c r="AB89" s="200">
        <f t="shared" si="60"/>
        <v>4.6027397260273986E-3</v>
      </c>
      <c r="AC89" s="200">
        <f t="shared" si="60"/>
        <v>8.0547945205479456E-3</v>
      </c>
      <c r="AD89" s="200">
        <f t="shared" si="60"/>
        <v>1.0520547945205481E-2</v>
      </c>
      <c r="AE89" s="198">
        <f t="shared" si="60"/>
        <v>1.3643835616438357E-2</v>
      </c>
      <c r="AF89" s="200">
        <f t="shared" ref="AF89:AQ89" si="61">1/$C$13*$N$23*T34</f>
        <v>1.4219178082191782E-2</v>
      </c>
      <c r="AG89" s="200">
        <f t="shared" si="61"/>
        <v>1.1178082191780825E-2</v>
      </c>
      <c r="AH89" s="200">
        <f t="shared" si="61"/>
        <v>1.1424657534246575E-2</v>
      </c>
      <c r="AI89" s="200">
        <f t="shared" si="61"/>
        <v>7.3150684931506862E-3</v>
      </c>
      <c r="AJ89" s="200">
        <f t="shared" si="61"/>
        <v>5.7534246575342467E-3</v>
      </c>
      <c r="AK89" s="200">
        <f t="shared" si="61"/>
        <v>4.3561643835616443E-3</v>
      </c>
      <c r="AL89" s="200">
        <f t="shared" si="61"/>
        <v>3.5342465753424659E-3</v>
      </c>
      <c r="AM89" s="200">
        <f t="shared" si="61"/>
        <v>3.9452054794520547E-3</v>
      </c>
      <c r="AN89" s="200">
        <f t="shared" si="61"/>
        <v>4.6027397260273986E-3</v>
      </c>
      <c r="AO89" s="200">
        <f t="shared" si="61"/>
        <v>8.0547945205479456E-3</v>
      </c>
      <c r="AP89" s="200">
        <f t="shared" si="61"/>
        <v>1.0520547945205481E-2</v>
      </c>
      <c r="AQ89" s="257">
        <f t="shared" si="61"/>
        <v>1.3643835616438357E-2</v>
      </c>
    </row>
    <row r="90" spans="2:43" s="115" customFormat="1" x14ac:dyDescent="0.25">
      <c r="B90" s="247" t="s">
        <v>80</v>
      </c>
      <c r="C90" s="211">
        <f>ROUND(Kainos!G120,2)</f>
        <v>142.77000000000001</v>
      </c>
      <c r="D90" s="241">
        <f>$C$90*D86</f>
        <v>38.723917808219191</v>
      </c>
      <c r="E90" s="241">
        <f t="shared" ref="E90:AQ90" si="62">$C$90*E86</f>
        <v>39.154183561643841</v>
      </c>
      <c r="F90" s="241">
        <f t="shared" si="62"/>
        <v>39.584449315068504</v>
      </c>
      <c r="G90" s="318">
        <f t="shared" si="62"/>
        <v>39.584449315068504</v>
      </c>
      <c r="H90" s="241">
        <f t="shared" si="62"/>
        <v>15.15708904109589</v>
      </c>
      <c r="I90" s="241">
        <f t="shared" si="62"/>
        <v>13.690273972602743</v>
      </c>
      <c r="J90" s="241">
        <f t="shared" si="62"/>
        <v>15.15708904109589</v>
      </c>
      <c r="K90" s="241">
        <f t="shared" si="62"/>
        <v>14.668150684931508</v>
      </c>
      <c r="L90" s="241">
        <f t="shared" si="62"/>
        <v>15.15708904109589</v>
      </c>
      <c r="M90" s="241">
        <f t="shared" si="62"/>
        <v>14.668150684931508</v>
      </c>
      <c r="N90" s="241">
        <f t="shared" si="62"/>
        <v>15.15708904109589</v>
      </c>
      <c r="O90" s="241">
        <f t="shared" si="62"/>
        <v>15.15708904109589</v>
      </c>
      <c r="P90" s="241">
        <f t="shared" si="62"/>
        <v>14.668150684931508</v>
      </c>
      <c r="Q90" s="241">
        <f t="shared" si="62"/>
        <v>15.15708904109589</v>
      </c>
      <c r="R90" s="241">
        <f t="shared" si="62"/>
        <v>14.668150684931508</v>
      </c>
      <c r="S90" s="318">
        <f t="shared" si="62"/>
        <v>15.15708904109589</v>
      </c>
      <c r="T90" s="241">
        <f t="shared" si="62"/>
        <v>0.58672602739726043</v>
      </c>
      <c r="U90" s="241">
        <f t="shared" si="62"/>
        <v>0.58672602739726043</v>
      </c>
      <c r="V90" s="241">
        <f t="shared" si="62"/>
        <v>0.58672602739726043</v>
      </c>
      <c r="W90" s="241">
        <f t="shared" si="62"/>
        <v>0.58672602739726043</v>
      </c>
      <c r="X90" s="241">
        <f t="shared" si="62"/>
        <v>0.58672602739726043</v>
      </c>
      <c r="Y90" s="241">
        <f t="shared" si="62"/>
        <v>0.58672602739726043</v>
      </c>
      <c r="Z90" s="241">
        <f t="shared" si="62"/>
        <v>0.58672602739726043</v>
      </c>
      <c r="AA90" s="241">
        <f t="shared" si="62"/>
        <v>0.58672602739726043</v>
      </c>
      <c r="AB90" s="241">
        <f t="shared" si="62"/>
        <v>0.58672602739726043</v>
      </c>
      <c r="AC90" s="241">
        <f t="shared" si="62"/>
        <v>0.58672602739726043</v>
      </c>
      <c r="AD90" s="241">
        <f t="shared" si="62"/>
        <v>0.58672602739726043</v>
      </c>
      <c r="AE90" s="318">
        <f t="shared" si="62"/>
        <v>0.58672602739726043</v>
      </c>
      <c r="AF90" s="241">
        <f t="shared" si="62"/>
        <v>0.66495616438356164</v>
      </c>
      <c r="AG90" s="241">
        <f t="shared" si="62"/>
        <v>0.66495616438356164</v>
      </c>
      <c r="AH90" s="241">
        <f t="shared" si="62"/>
        <v>0.66495616438356164</v>
      </c>
      <c r="AI90" s="241">
        <f t="shared" si="62"/>
        <v>0.66495616438356164</v>
      </c>
      <c r="AJ90" s="241">
        <f t="shared" si="62"/>
        <v>0.66495616438356164</v>
      </c>
      <c r="AK90" s="241">
        <f t="shared" si="62"/>
        <v>0.66495616438356164</v>
      </c>
      <c r="AL90" s="241">
        <f t="shared" si="62"/>
        <v>0.66495616438356164</v>
      </c>
      <c r="AM90" s="241">
        <f t="shared" si="62"/>
        <v>0.66495616438356164</v>
      </c>
      <c r="AN90" s="241">
        <f t="shared" si="62"/>
        <v>0.66495616438356164</v>
      </c>
      <c r="AO90" s="241">
        <f t="shared" si="62"/>
        <v>0.66495616438356164</v>
      </c>
      <c r="AP90" s="241">
        <f t="shared" si="62"/>
        <v>0.66495616438356164</v>
      </c>
      <c r="AQ90" s="319">
        <f t="shared" si="62"/>
        <v>0.66495616438356164</v>
      </c>
    </row>
    <row r="91" spans="2:43" s="115" customFormat="1" x14ac:dyDescent="0.25">
      <c r="B91" s="323" t="s">
        <v>181</v>
      </c>
      <c r="C91" s="211">
        <f>ROUND(Kainos!G121,2)</f>
        <v>142.77000000000001</v>
      </c>
      <c r="D91" s="241">
        <f>$C91*D86</f>
        <v>38.723917808219191</v>
      </c>
      <c r="E91" s="241">
        <f t="shared" ref="E91:AQ91" si="63">$C91*E87</f>
        <v>39.154183561643841</v>
      </c>
      <c r="F91" s="241">
        <f t="shared" si="63"/>
        <v>39.584449315068504</v>
      </c>
      <c r="G91" s="318">
        <f t="shared" si="63"/>
        <v>39.584449315068504</v>
      </c>
      <c r="H91" s="241">
        <f t="shared" si="63"/>
        <v>15.15708904109589</v>
      </c>
      <c r="I91" s="241">
        <f t="shared" si="63"/>
        <v>13.690273972602743</v>
      </c>
      <c r="J91" s="241">
        <f t="shared" si="63"/>
        <v>15.15708904109589</v>
      </c>
      <c r="K91" s="241">
        <f t="shared" si="63"/>
        <v>14.668150684931508</v>
      </c>
      <c r="L91" s="241">
        <f t="shared" si="63"/>
        <v>15.15708904109589</v>
      </c>
      <c r="M91" s="241">
        <f t="shared" si="63"/>
        <v>14.668150684931508</v>
      </c>
      <c r="N91" s="241">
        <f t="shared" si="63"/>
        <v>15.15708904109589</v>
      </c>
      <c r="O91" s="241">
        <f t="shared" si="63"/>
        <v>15.15708904109589</v>
      </c>
      <c r="P91" s="241">
        <f t="shared" si="63"/>
        <v>14.668150684931508</v>
      </c>
      <c r="Q91" s="241">
        <f t="shared" si="63"/>
        <v>15.15708904109589</v>
      </c>
      <c r="R91" s="241">
        <f t="shared" si="63"/>
        <v>14.668150684931508</v>
      </c>
      <c r="S91" s="318">
        <f t="shared" si="63"/>
        <v>15.15708904109589</v>
      </c>
      <c r="T91" s="241">
        <f t="shared" si="63"/>
        <v>0.58672602739726043</v>
      </c>
      <c r="U91" s="241">
        <f t="shared" si="63"/>
        <v>0.58672602739726043</v>
      </c>
      <c r="V91" s="241">
        <f t="shared" si="63"/>
        <v>0.58672602739726043</v>
      </c>
      <c r="W91" s="241">
        <f t="shared" si="63"/>
        <v>0.58672602739726043</v>
      </c>
      <c r="X91" s="241">
        <f t="shared" si="63"/>
        <v>0.58672602739726043</v>
      </c>
      <c r="Y91" s="241">
        <f t="shared" si="63"/>
        <v>0.58672602739726043</v>
      </c>
      <c r="Z91" s="241">
        <f t="shared" si="63"/>
        <v>0.58672602739726043</v>
      </c>
      <c r="AA91" s="241">
        <f t="shared" si="63"/>
        <v>0.58672602739726043</v>
      </c>
      <c r="AB91" s="241">
        <f t="shared" si="63"/>
        <v>0.58672602739726043</v>
      </c>
      <c r="AC91" s="241">
        <f t="shared" si="63"/>
        <v>0.58672602739726043</v>
      </c>
      <c r="AD91" s="241">
        <f t="shared" si="63"/>
        <v>0.58672602739726043</v>
      </c>
      <c r="AE91" s="318">
        <f t="shared" si="63"/>
        <v>0.58672602739726043</v>
      </c>
      <c r="AF91" s="241">
        <f t="shared" si="63"/>
        <v>0.66495616438356164</v>
      </c>
      <c r="AG91" s="241">
        <f t="shared" si="63"/>
        <v>0.66495616438356164</v>
      </c>
      <c r="AH91" s="241">
        <f t="shared" si="63"/>
        <v>0.66495616438356164</v>
      </c>
      <c r="AI91" s="241">
        <f t="shared" si="63"/>
        <v>0.66495616438356164</v>
      </c>
      <c r="AJ91" s="241">
        <f t="shared" si="63"/>
        <v>0.66495616438356164</v>
      </c>
      <c r="AK91" s="241">
        <f t="shared" si="63"/>
        <v>0.66495616438356164</v>
      </c>
      <c r="AL91" s="241">
        <f t="shared" si="63"/>
        <v>0.66495616438356164</v>
      </c>
      <c r="AM91" s="241">
        <f t="shared" si="63"/>
        <v>0.66495616438356164</v>
      </c>
      <c r="AN91" s="241">
        <f t="shared" si="63"/>
        <v>0.66495616438356164</v>
      </c>
      <c r="AO91" s="241">
        <f t="shared" si="63"/>
        <v>0.66495616438356164</v>
      </c>
      <c r="AP91" s="241">
        <f t="shared" si="63"/>
        <v>0.66495616438356164</v>
      </c>
      <c r="AQ91" s="319">
        <f t="shared" si="63"/>
        <v>0.66495616438356164</v>
      </c>
    </row>
    <row r="92" spans="2:43" s="115" customFormat="1" x14ac:dyDescent="0.25">
      <c r="B92" s="247" t="s">
        <v>81</v>
      </c>
      <c r="C92" s="211">
        <f>ROUND(Kainos!G122,2)</f>
        <v>35.96</v>
      </c>
      <c r="D92" s="241">
        <f>$C$92*D86</f>
        <v>9.7535342465753452</v>
      </c>
      <c r="E92" s="241">
        <f t="shared" ref="E92:AQ92" si="64">$C$92*E86</f>
        <v>9.8619068493150692</v>
      </c>
      <c r="F92" s="241">
        <f t="shared" si="64"/>
        <v>9.9702794520547968</v>
      </c>
      <c r="G92" s="318">
        <f t="shared" si="64"/>
        <v>9.9702794520547968</v>
      </c>
      <c r="H92" s="241">
        <f t="shared" si="64"/>
        <v>3.8176712328767124</v>
      </c>
      <c r="I92" s="241">
        <f t="shared" si="64"/>
        <v>3.448219178082192</v>
      </c>
      <c r="J92" s="241">
        <f t="shared" si="64"/>
        <v>3.8176712328767124</v>
      </c>
      <c r="K92" s="241">
        <f t="shared" si="64"/>
        <v>3.6945205479452055</v>
      </c>
      <c r="L92" s="241">
        <f t="shared" si="64"/>
        <v>3.8176712328767124</v>
      </c>
      <c r="M92" s="241">
        <f t="shared" si="64"/>
        <v>3.6945205479452055</v>
      </c>
      <c r="N92" s="241">
        <f t="shared" si="64"/>
        <v>3.8176712328767124</v>
      </c>
      <c r="O92" s="241">
        <f t="shared" si="64"/>
        <v>3.8176712328767124</v>
      </c>
      <c r="P92" s="241">
        <f t="shared" si="64"/>
        <v>3.6945205479452055</v>
      </c>
      <c r="Q92" s="241">
        <f t="shared" si="64"/>
        <v>3.8176712328767124</v>
      </c>
      <c r="R92" s="241">
        <f t="shared" si="64"/>
        <v>3.6945205479452055</v>
      </c>
      <c r="S92" s="318">
        <f t="shared" si="64"/>
        <v>3.8176712328767124</v>
      </c>
      <c r="T92" s="241">
        <f t="shared" si="64"/>
        <v>0.14778082191780825</v>
      </c>
      <c r="U92" s="241">
        <f t="shared" si="64"/>
        <v>0.14778082191780825</v>
      </c>
      <c r="V92" s="241">
        <f t="shared" si="64"/>
        <v>0.14778082191780825</v>
      </c>
      <c r="W92" s="241">
        <f t="shared" si="64"/>
        <v>0.14778082191780825</v>
      </c>
      <c r="X92" s="241">
        <f t="shared" si="64"/>
        <v>0.14778082191780825</v>
      </c>
      <c r="Y92" s="241">
        <f t="shared" si="64"/>
        <v>0.14778082191780825</v>
      </c>
      <c r="Z92" s="241">
        <f t="shared" si="64"/>
        <v>0.14778082191780825</v>
      </c>
      <c r="AA92" s="241">
        <f t="shared" si="64"/>
        <v>0.14778082191780825</v>
      </c>
      <c r="AB92" s="241">
        <f t="shared" si="64"/>
        <v>0.14778082191780825</v>
      </c>
      <c r="AC92" s="241">
        <f t="shared" si="64"/>
        <v>0.14778082191780825</v>
      </c>
      <c r="AD92" s="241">
        <f t="shared" si="64"/>
        <v>0.14778082191780825</v>
      </c>
      <c r="AE92" s="318">
        <f t="shared" si="64"/>
        <v>0.14778082191780825</v>
      </c>
      <c r="AF92" s="241">
        <f t="shared" si="64"/>
        <v>0.16748493150684932</v>
      </c>
      <c r="AG92" s="241">
        <f t="shared" si="64"/>
        <v>0.16748493150684932</v>
      </c>
      <c r="AH92" s="241">
        <f t="shared" si="64"/>
        <v>0.16748493150684932</v>
      </c>
      <c r="AI92" s="241">
        <f t="shared" si="64"/>
        <v>0.16748493150684932</v>
      </c>
      <c r="AJ92" s="241">
        <f t="shared" si="64"/>
        <v>0.16748493150684932</v>
      </c>
      <c r="AK92" s="241">
        <f t="shared" si="64"/>
        <v>0.16748493150684932</v>
      </c>
      <c r="AL92" s="241">
        <f t="shared" si="64"/>
        <v>0.16748493150684932</v>
      </c>
      <c r="AM92" s="241">
        <f t="shared" si="64"/>
        <v>0.16748493150684932</v>
      </c>
      <c r="AN92" s="241">
        <f t="shared" si="64"/>
        <v>0.16748493150684932</v>
      </c>
      <c r="AO92" s="241">
        <f t="shared" si="64"/>
        <v>0.16748493150684932</v>
      </c>
      <c r="AP92" s="241">
        <f t="shared" si="64"/>
        <v>0.16748493150684932</v>
      </c>
      <c r="AQ92" s="319">
        <f t="shared" si="64"/>
        <v>0.16748493150684932</v>
      </c>
    </row>
    <row r="93" spans="2:43" s="115" customFormat="1" x14ac:dyDescent="0.25">
      <c r="B93" s="247" t="s">
        <v>82</v>
      </c>
      <c r="C93" s="211">
        <f>ROUND(Kainos!G123,2)</f>
        <v>142.77000000000001</v>
      </c>
      <c r="D93" s="241">
        <f>$C$93*D86</f>
        <v>38.723917808219191</v>
      </c>
      <c r="E93" s="241">
        <f t="shared" ref="E93:AQ93" si="65">$C$93*E86</f>
        <v>39.154183561643841</v>
      </c>
      <c r="F93" s="241">
        <f t="shared" si="65"/>
        <v>39.584449315068504</v>
      </c>
      <c r="G93" s="318">
        <f t="shared" si="65"/>
        <v>39.584449315068504</v>
      </c>
      <c r="H93" s="241">
        <f t="shared" si="65"/>
        <v>15.15708904109589</v>
      </c>
      <c r="I93" s="241">
        <f t="shared" si="65"/>
        <v>13.690273972602743</v>
      </c>
      <c r="J93" s="241">
        <f t="shared" si="65"/>
        <v>15.15708904109589</v>
      </c>
      <c r="K93" s="241">
        <f t="shared" si="65"/>
        <v>14.668150684931508</v>
      </c>
      <c r="L93" s="241">
        <f t="shared" si="65"/>
        <v>15.15708904109589</v>
      </c>
      <c r="M93" s="241">
        <f t="shared" si="65"/>
        <v>14.668150684931508</v>
      </c>
      <c r="N93" s="241">
        <f t="shared" si="65"/>
        <v>15.15708904109589</v>
      </c>
      <c r="O93" s="241">
        <f t="shared" si="65"/>
        <v>15.15708904109589</v>
      </c>
      <c r="P93" s="241">
        <f t="shared" si="65"/>
        <v>14.668150684931508</v>
      </c>
      <c r="Q93" s="241">
        <f t="shared" si="65"/>
        <v>15.15708904109589</v>
      </c>
      <c r="R93" s="241">
        <f t="shared" si="65"/>
        <v>14.668150684931508</v>
      </c>
      <c r="S93" s="318">
        <f t="shared" si="65"/>
        <v>15.15708904109589</v>
      </c>
      <c r="T93" s="241">
        <f t="shared" si="65"/>
        <v>0.58672602739726043</v>
      </c>
      <c r="U93" s="241">
        <f t="shared" si="65"/>
        <v>0.58672602739726043</v>
      </c>
      <c r="V93" s="241">
        <f t="shared" si="65"/>
        <v>0.58672602739726043</v>
      </c>
      <c r="W93" s="241">
        <f t="shared" si="65"/>
        <v>0.58672602739726043</v>
      </c>
      <c r="X93" s="241">
        <f t="shared" si="65"/>
        <v>0.58672602739726043</v>
      </c>
      <c r="Y93" s="241">
        <f t="shared" si="65"/>
        <v>0.58672602739726043</v>
      </c>
      <c r="Z93" s="241">
        <f t="shared" si="65"/>
        <v>0.58672602739726043</v>
      </c>
      <c r="AA93" s="241">
        <f t="shared" si="65"/>
        <v>0.58672602739726043</v>
      </c>
      <c r="AB93" s="241">
        <f t="shared" si="65"/>
        <v>0.58672602739726043</v>
      </c>
      <c r="AC93" s="241">
        <f t="shared" si="65"/>
        <v>0.58672602739726043</v>
      </c>
      <c r="AD93" s="241">
        <f t="shared" si="65"/>
        <v>0.58672602739726043</v>
      </c>
      <c r="AE93" s="318">
        <f t="shared" si="65"/>
        <v>0.58672602739726043</v>
      </c>
      <c r="AF93" s="241">
        <f t="shared" si="65"/>
        <v>0.66495616438356164</v>
      </c>
      <c r="AG93" s="241">
        <f t="shared" si="65"/>
        <v>0.66495616438356164</v>
      </c>
      <c r="AH93" s="241">
        <f t="shared" si="65"/>
        <v>0.66495616438356164</v>
      </c>
      <c r="AI93" s="241">
        <f t="shared" si="65"/>
        <v>0.66495616438356164</v>
      </c>
      <c r="AJ93" s="241">
        <f t="shared" si="65"/>
        <v>0.66495616438356164</v>
      </c>
      <c r="AK93" s="241">
        <f t="shared" si="65"/>
        <v>0.66495616438356164</v>
      </c>
      <c r="AL93" s="241">
        <f t="shared" si="65"/>
        <v>0.66495616438356164</v>
      </c>
      <c r="AM93" s="241">
        <f t="shared" si="65"/>
        <v>0.66495616438356164</v>
      </c>
      <c r="AN93" s="241">
        <f t="shared" si="65"/>
        <v>0.66495616438356164</v>
      </c>
      <c r="AO93" s="241">
        <f t="shared" si="65"/>
        <v>0.66495616438356164</v>
      </c>
      <c r="AP93" s="241">
        <f t="shared" si="65"/>
        <v>0.66495616438356164</v>
      </c>
      <c r="AQ93" s="319">
        <f t="shared" si="65"/>
        <v>0.66495616438356164</v>
      </c>
    </row>
    <row r="94" spans="2:43" s="115" customFormat="1" x14ac:dyDescent="0.25">
      <c r="B94" s="247" t="s">
        <v>83</v>
      </c>
      <c r="C94" s="211">
        <f>ROUND(Kainos!G124,2)</f>
        <v>142.77000000000001</v>
      </c>
      <c r="D94" s="241">
        <f>$C$94*D86</f>
        <v>38.723917808219191</v>
      </c>
      <c r="E94" s="241">
        <f t="shared" ref="E94:AQ94" si="66">$C$94*E86</f>
        <v>39.154183561643841</v>
      </c>
      <c r="F94" s="241">
        <f t="shared" si="66"/>
        <v>39.584449315068504</v>
      </c>
      <c r="G94" s="318">
        <f t="shared" si="66"/>
        <v>39.584449315068504</v>
      </c>
      <c r="H94" s="241">
        <f t="shared" si="66"/>
        <v>15.15708904109589</v>
      </c>
      <c r="I94" s="241">
        <f t="shared" si="66"/>
        <v>13.690273972602743</v>
      </c>
      <c r="J94" s="241">
        <f t="shared" si="66"/>
        <v>15.15708904109589</v>
      </c>
      <c r="K94" s="241">
        <f t="shared" si="66"/>
        <v>14.668150684931508</v>
      </c>
      <c r="L94" s="241">
        <f t="shared" si="66"/>
        <v>15.15708904109589</v>
      </c>
      <c r="M94" s="241">
        <f t="shared" si="66"/>
        <v>14.668150684931508</v>
      </c>
      <c r="N94" s="241">
        <f t="shared" si="66"/>
        <v>15.15708904109589</v>
      </c>
      <c r="O94" s="241">
        <f t="shared" si="66"/>
        <v>15.15708904109589</v>
      </c>
      <c r="P94" s="241">
        <f t="shared" si="66"/>
        <v>14.668150684931508</v>
      </c>
      <c r="Q94" s="241">
        <f t="shared" si="66"/>
        <v>15.15708904109589</v>
      </c>
      <c r="R94" s="241">
        <f t="shared" si="66"/>
        <v>14.668150684931508</v>
      </c>
      <c r="S94" s="318">
        <f t="shared" si="66"/>
        <v>15.15708904109589</v>
      </c>
      <c r="T94" s="241">
        <f t="shared" si="66"/>
        <v>0.58672602739726043</v>
      </c>
      <c r="U94" s="241">
        <f t="shared" si="66"/>
        <v>0.58672602739726043</v>
      </c>
      <c r="V94" s="241">
        <f t="shared" si="66"/>
        <v>0.58672602739726043</v>
      </c>
      <c r="W94" s="241">
        <f t="shared" si="66"/>
        <v>0.58672602739726043</v>
      </c>
      <c r="X94" s="241">
        <f t="shared" si="66"/>
        <v>0.58672602739726043</v>
      </c>
      <c r="Y94" s="241">
        <f t="shared" si="66"/>
        <v>0.58672602739726043</v>
      </c>
      <c r="Z94" s="241">
        <f t="shared" si="66"/>
        <v>0.58672602739726043</v>
      </c>
      <c r="AA94" s="241">
        <f t="shared" si="66"/>
        <v>0.58672602739726043</v>
      </c>
      <c r="AB94" s="241">
        <f t="shared" si="66"/>
        <v>0.58672602739726043</v>
      </c>
      <c r="AC94" s="241">
        <f t="shared" si="66"/>
        <v>0.58672602739726043</v>
      </c>
      <c r="AD94" s="241">
        <f t="shared" si="66"/>
        <v>0.58672602739726043</v>
      </c>
      <c r="AE94" s="318">
        <f t="shared" si="66"/>
        <v>0.58672602739726043</v>
      </c>
      <c r="AF94" s="241">
        <f t="shared" si="66"/>
        <v>0.66495616438356164</v>
      </c>
      <c r="AG94" s="241">
        <f t="shared" si="66"/>
        <v>0.66495616438356164</v>
      </c>
      <c r="AH94" s="241">
        <f t="shared" si="66"/>
        <v>0.66495616438356164</v>
      </c>
      <c r="AI94" s="241">
        <f t="shared" si="66"/>
        <v>0.66495616438356164</v>
      </c>
      <c r="AJ94" s="241">
        <f t="shared" si="66"/>
        <v>0.66495616438356164</v>
      </c>
      <c r="AK94" s="241">
        <f t="shared" si="66"/>
        <v>0.66495616438356164</v>
      </c>
      <c r="AL94" s="241">
        <f t="shared" si="66"/>
        <v>0.66495616438356164</v>
      </c>
      <c r="AM94" s="241">
        <f t="shared" si="66"/>
        <v>0.66495616438356164</v>
      </c>
      <c r="AN94" s="241">
        <f t="shared" si="66"/>
        <v>0.66495616438356164</v>
      </c>
      <c r="AO94" s="241">
        <f t="shared" si="66"/>
        <v>0.66495616438356164</v>
      </c>
      <c r="AP94" s="241">
        <f t="shared" si="66"/>
        <v>0.66495616438356164</v>
      </c>
      <c r="AQ94" s="319">
        <f t="shared" si="66"/>
        <v>0.66495616438356164</v>
      </c>
    </row>
    <row r="95" spans="2:43" s="115" customFormat="1" x14ac:dyDescent="0.25">
      <c r="B95" s="247" t="s">
        <v>149</v>
      </c>
      <c r="C95" s="211">
        <f>ROUND(Kainos!G125,2)</f>
        <v>142.77000000000001</v>
      </c>
      <c r="D95" s="241">
        <f>$C$95*D86</f>
        <v>38.723917808219191</v>
      </c>
      <c r="E95" s="241">
        <f t="shared" ref="E95:AQ95" si="67">$C$95*E86</f>
        <v>39.154183561643841</v>
      </c>
      <c r="F95" s="241">
        <f t="shared" si="67"/>
        <v>39.584449315068504</v>
      </c>
      <c r="G95" s="318">
        <f t="shared" si="67"/>
        <v>39.584449315068504</v>
      </c>
      <c r="H95" s="241">
        <f t="shared" si="67"/>
        <v>15.15708904109589</v>
      </c>
      <c r="I95" s="241">
        <f t="shared" si="67"/>
        <v>13.690273972602743</v>
      </c>
      <c r="J95" s="241">
        <f t="shared" si="67"/>
        <v>15.15708904109589</v>
      </c>
      <c r="K95" s="241">
        <f t="shared" si="67"/>
        <v>14.668150684931508</v>
      </c>
      <c r="L95" s="241">
        <f t="shared" si="67"/>
        <v>15.15708904109589</v>
      </c>
      <c r="M95" s="241">
        <f t="shared" si="67"/>
        <v>14.668150684931508</v>
      </c>
      <c r="N95" s="241">
        <f t="shared" si="67"/>
        <v>15.15708904109589</v>
      </c>
      <c r="O95" s="241">
        <f t="shared" si="67"/>
        <v>15.15708904109589</v>
      </c>
      <c r="P95" s="241">
        <f t="shared" si="67"/>
        <v>14.668150684931508</v>
      </c>
      <c r="Q95" s="241">
        <f t="shared" si="67"/>
        <v>15.15708904109589</v>
      </c>
      <c r="R95" s="241">
        <f t="shared" si="67"/>
        <v>14.668150684931508</v>
      </c>
      <c r="S95" s="318">
        <f t="shared" si="67"/>
        <v>15.15708904109589</v>
      </c>
      <c r="T95" s="241">
        <f t="shared" si="67"/>
        <v>0.58672602739726043</v>
      </c>
      <c r="U95" s="241">
        <f t="shared" si="67"/>
        <v>0.58672602739726043</v>
      </c>
      <c r="V95" s="241">
        <f t="shared" si="67"/>
        <v>0.58672602739726043</v>
      </c>
      <c r="W95" s="241">
        <f t="shared" si="67"/>
        <v>0.58672602739726043</v>
      </c>
      <c r="X95" s="241">
        <f t="shared" si="67"/>
        <v>0.58672602739726043</v>
      </c>
      <c r="Y95" s="241">
        <f t="shared" si="67"/>
        <v>0.58672602739726043</v>
      </c>
      <c r="Z95" s="241">
        <f t="shared" si="67"/>
        <v>0.58672602739726043</v>
      </c>
      <c r="AA95" s="241">
        <f t="shared" si="67"/>
        <v>0.58672602739726043</v>
      </c>
      <c r="AB95" s="241">
        <f t="shared" si="67"/>
        <v>0.58672602739726043</v>
      </c>
      <c r="AC95" s="241">
        <f t="shared" si="67"/>
        <v>0.58672602739726043</v>
      </c>
      <c r="AD95" s="241">
        <f t="shared" si="67"/>
        <v>0.58672602739726043</v>
      </c>
      <c r="AE95" s="318">
        <f t="shared" si="67"/>
        <v>0.58672602739726043</v>
      </c>
      <c r="AF95" s="241">
        <f t="shared" si="67"/>
        <v>0.66495616438356164</v>
      </c>
      <c r="AG95" s="241">
        <f t="shared" si="67"/>
        <v>0.66495616438356164</v>
      </c>
      <c r="AH95" s="241">
        <f t="shared" si="67"/>
        <v>0.66495616438356164</v>
      </c>
      <c r="AI95" s="241">
        <f t="shared" si="67"/>
        <v>0.66495616438356164</v>
      </c>
      <c r="AJ95" s="241">
        <f t="shared" si="67"/>
        <v>0.66495616438356164</v>
      </c>
      <c r="AK95" s="241">
        <f t="shared" si="67"/>
        <v>0.66495616438356164</v>
      </c>
      <c r="AL95" s="241">
        <f t="shared" si="67"/>
        <v>0.66495616438356164</v>
      </c>
      <c r="AM95" s="241">
        <f t="shared" si="67"/>
        <v>0.66495616438356164</v>
      </c>
      <c r="AN95" s="241">
        <f t="shared" si="67"/>
        <v>0.66495616438356164</v>
      </c>
      <c r="AO95" s="241">
        <f t="shared" si="67"/>
        <v>0.66495616438356164</v>
      </c>
      <c r="AP95" s="241">
        <f t="shared" si="67"/>
        <v>0.66495616438356164</v>
      </c>
      <c r="AQ95" s="319">
        <f t="shared" si="67"/>
        <v>0.66495616438356164</v>
      </c>
    </row>
    <row r="96" spans="2:43" s="115" customFormat="1" x14ac:dyDescent="0.25">
      <c r="B96" s="247" t="s">
        <v>84</v>
      </c>
      <c r="C96" s="211">
        <f>Kainos!G126</f>
        <v>84.295247866741676</v>
      </c>
      <c r="D96" s="241">
        <f>+$C$96*D87</f>
        <v>22.863642572075143</v>
      </c>
      <c r="E96" s="241">
        <f t="shared" ref="E96:AQ96" si="68">+$C$96*E87</f>
        <v>23.117683045098197</v>
      </c>
      <c r="F96" s="241">
        <f t="shared" si="68"/>
        <v>23.371723518121257</v>
      </c>
      <c r="G96" s="318">
        <f t="shared" si="68"/>
        <v>23.371723518121257</v>
      </c>
      <c r="H96" s="241">
        <f t="shared" si="68"/>
        <v>8.9491530269486024</v>
      </c>
      <c r="I96" s="241">
        <f t="shared" si="68"/>
        <v>8.0831059598245449</v>
      </c>
      <c r="J96" s="241">
        <f t="shared" si="68"/>
        <v>8.9491530269486024</v>
      </c>
      <c r="K96" s="241">
        <f t="shared" si="68"/>
        <v>8.6604706712405832</v>
      </c>
      <c r="L96" s="241">
        <f t="shared" si="68"/>
        <v>8.9491530269486024</v>
      </c>
      <c r="M96" s="241">
        <f t="shared" si="68"/>
        <v>8.6604706712405832</v>
      </c>
      <c r="N96" s="241">
        <f t="shared" si="68"/>
        <v>8.9491530269486024</v>
      </c>
      <c r="O96" s="241">
        <f t="shared" si="68"/>
        <v>8.9491530269486024</v>
      </c>
      <c r="P96" s="241">
        <f t="shared" si="68"/>
        <v>8.6604706712405832</v>
      </c>
      <c r="Q96" s="241">
        <f t="shared" si="68"/>
        <v>8.9491530269486024</v>
      </c>
      <c r="R96" s="241">
        <f t="shared" si="68"/>
        <v>8.6604706712405832</v>
      </c>
      <c r="S96" s="318">
        <f t="shared" si="68"/>
        <v>8.9491530269486024</v>
      </c>
      <c r="T96" s="241">
        <f t="shared" si="68"/>
        <v>0.34641882684962338</v>
      </c>
      <c r="U96" s="241">
        <f t="shared" si="68"/>
        <v>0.34641882684962338</v>
      </c>
      <c r="V96" s="241">
        <f t="shared" si="68"/>
        <v>0.34641882684962338</v>
      </c>
      <c r="W96" s="241">
        <f t="shared" si="68"/>
        <v>0.34641882684962338</v>
      </c>
      <c r="X96" s="241">
        <f t="shared" si="68"/>
        <v>0.34641882684962338</v>
      </c>
      <c r="Y96" s="241">
        <f t="shared" si="68"/>
        <v>0.34641882684962338</v>
      </c>
      <c r="Z96" s="241">
        <f t="shared" si="68"/>
        <v>0.34641882684962338</v>
      </c>
      <c r="AA96" s="241">
        <f t="shared" si="68"/>
        <v>0.34641882684962338</v>
      </c>
      <c r="AB96" s="241">
        <f t="shared" si="68"/>
        <v>0.34641882684962338</v>
      </c>
      <c r="AC96" s="241">
        <f t="shared" si="68"/>
        <v>0.34641882684962338</v>
      </c>
      <c r="AD96" s="241">
        <f t="shared" si="68"/>
        <v>0.34641882684962338</v>
      </c>
      <c r="AE96" s="318">
        <f t="shared" si="68"/>
        <v>0.34641882684962338</v>
      </c>
      <c r="AF96" s="241">
        <f t="shared" si="68"/>
        <v>0.39260800376290639</v>
      </c>
      <c r="AG96" s="241">
        <f t="shared" si="68"/>
        <v>0.39260800376290639</v>
      </c>
      <c r="AH96" s="241">
        <f t="shared" si="68"/>
        <v>0.39260800376290639</v>
      </c>
      <c r="AI96" s="241">
        <f t="shared" si="68"/>
        <v>0.39260800376290639</v>
      </c>
      <c r="AJ96" s="241">
        <f t="shared" si="68"/>
        <v>0.39260800376290639</v>
      </c>
      <c r="AK96" s="241">
        <f t="shared" si="68"/>
        <v>0.39260800376290639</v>
      </c>
      <c r="AL96" s="241">
        <f t="shared" si="68"/>
        <v>0.39260800376290639</v>
      </c>
      <c r="AM96" s="241">
        <f t="shared" si="68"/>
        <v>0.39260800376290639</v>
      </c>
      <c r="AN96" s="241">
        <f t="shared" si="68"/>
        <v>0.39260800376290639</v>
      </c>
      <c r="AO96" s="241">
        <f t="shared" si="68"/>
        <v>0.39260800376290639</v>
      </c>
      <c r="AP96" s="241">
        <f t="shared" si="68"/>
        <v>0.39260800376290639</v>
      </c>
      <c r="AQ96" s="319">
        <f t="shared" si="68"/>
        <v>0.39260800376290639</v>
      </c>
    </row>
    <row r="97" spans="2:43" s="115" customFormat="1" x14ac:dyDescent="0.25">
      <c r="B97" s="247" t="s">
        <v>85</v>
      </c>
      <c r="C97" s="211">
        <f>Kainos!G127</f>
        <v>61.866821156364438</v>
      </c>
      <c r="D97" s="241">
        <f>+$C$97*D88</f>
        <v>28.602811151058901</v>
      </c>
      <c r="E97" s="241">
        <f t="shared" ref="E97:AQ97" si="69">+$C$97*E88</f>
        <v>13.49628940979594</v>
      </c>
      <c r="F97" s="241">
        <f t="shared" si="69"/>
        <v>9.5512201977017437</v>
      </c>
      <c r="G97" s="318">
        <f t="shared" si="69"/>
        <v>25.534894814263847</v>
      </c>
      <c r="H97" s="241">
        <f t="shared" si="69"/>
        <v>13.635277884722568</v>
      </c>
      <c r="I97" s="241">
        <f t="shared" si="69"/>
        <v>9.681733765620649</v>
      </c>
      <c r="J97" s="241">
        <f t="shared" si="69"/>
        <v>10.955512288881138</v>
      </c>
      <c r="K97" s="241">
        <f t="shared" si="69"/>
        <v>6.7884005131846452</v>
      </c>
      <c r="L97" s="241">
        <f t="shared" si="69"/>
        <v>5.5171644620264724</v>
      </c>
      <c r="M97" s="241">
        <f t="shared" si="69"/>
        <v>4.0425306426829914</v>
      </c>
      <c r="N97" s="241">
        <f t="shared" si="69"/>
        <v>3.3891153123876903</v>
      </c>
      <c r="O97" s="241">
        <f t="shared" si="69"/>
        <v>3.783198488246724</v>
      </c>
      <c r="P97" s="241">
        <f t="shared" si="69"/>
        <v>4.2713531318914626</v>
      </c>
      <c r="Q97" s="241">
        <f t="shared" si="69"/>
        <v>7.7240302468370619</v>
      </c>
      <c r="R97" s="241">
        <f t="shared" si="69"/>
        <v>9.7630928728947719</v>
      </c>
      <c r="S97" s="318">
        <f t="shared" si="69"/>
        <v>13.08356143851992</v>
      </c>
      <c r="T97" s="241">
        <f t="shared" si="69"/>
        <v>0.87969534740145605</v>
      </c>
      <c r="U97" s="241">
        <f t="shared" si="69"/>
        <v>0.69155241183004645</v>
      </c>
      <c r="V97" s="241">
        <f t="shared" si="69"/>
        <v>0.70680724444394438</v>
      </c>
      <c r="W97" s="241">
        <f t="shared" si="69"/>
        <v>0.45256003421230978</v>
      </c>
      <c r="X97" s="241">
        <f t="shared" si="69"/>
        <v>0.35594609432428853</v>
      </c>
      <c r="Y97" s="241">
        <f t="shared" si="69"/>
        <v>0.26950204284553281</v>
      </c>
      <c r="Z97" s="241">
        <f t="shared" si="69"/>
        <v>0.21865260079920584</v>
      </c>
      <c r="AA97" s="241">
        <f t="shared" si="69"/>
        <v>0.24407732182236927</v>
      </c>
      <c r="AB97" s="241">
        <f t="shared" si="69"/>
        <v>0.2847568754594309</v>
      </c>
      <c r="AC97" s="241">
        <f t="shared" si="69"/>
        <v>0.49832453205400401</v>
      </c>
      <c r="AD97" s="241">
        <f t="shared" si="69"/>
        <v>0.6508728581929849</v>
      </c>
      <c r="AE97" s="318">
        <f t="shared" si="69"/>
        <v>0.84410073796902718</v>
      </c>
      <c r="AF97" s="241">
        <f t="shared" si="69"/>
        <v>0.87969534740145605</v>
      </c>
      <c r="AG97" s="241">
        <f t="shared" si="69"/>
        <v>0.69155241183004645</v>
      </c>
      <c r="AH97" s="241">
        <f t="shared" si="69"/>
        <v>0.70680724444394438</v>
      </c>
      <c r="AI97" s="241">
        <f t="shared" si="69"/>
        <v>0.45256003421230978</v>
      </c>
      <c r="AJ97" s="241">
        <f t="shared" si="69"/>
        <v>0.35594609432428853</v>
      </c>
      <c r="AK97" s="241">
        <f t="shared" si="69"/>
        <v>0.26950204284553281</v>
      </c>
      <c r="AL97" s="241">
        <f t="shared" si="69"/>
        <v>0.21865260079920584</v>
      </c>
      <c r="AM97" s="241">
        <f t="shared" si="69"/>
        <v>0.24407732182236927</v>
      </c>
      <c r="AN97" s="241">
        <f t="shared" si="69"/>
        <v>0.2847568754594309</v>
      </c>
      <c r="AO97" s="241">
        <f t="shared" si="69"/>
        <v>0.49832453205400401</v>
      </c>
      <c r="AP97" s="241">
        <f t="shared" si="69"/>
        <v>0.6508728581929849</v>
      </c>
      <c r="AQ97" s="319">
        <f t="shared" si="69"/>
        <v>0.84410073796902718</v>
      </c>
    </row>
    <row r="98" spans="2:43" s="115" customFormat="1" x14ac:dyDescent="0.25">
      <c r="B98" s="247" t="s">
        <v>137</v>
      </c>
      <c r="C98" s="211">
        <f>Kainos!G128</f>
        <v>84.295247866741676</v>
      </c>
      <c r="D98" s="241">
        <f t="shared" ref="D98:AQ98" si="70">+$C$98*D87</f>
        <v>22.863642572075143</v>
      </c>
      <c r="E98" s="241">
        <f t="shared" si="70"/>
        <v>23.117683045098197</v>
      </c>
      <c r="F98" s="241">
        <f t="shared" si="70"/>
        <v>23.371723518121257</v>
      </c>
      <c r="G98" s="318">
        <f t="shared" si="70"/>
        <v>23.371723518121257</v>
      </c>
      <c r="H98" s="241">
        <f t="shared" si="70"/>
        <v>8.9491530269486024</v>
      </c>
      <c r="I98" s="241">
        <f t="shared" si="70"/>
        <v>8.0831059598245449</v>
      </c>
      <c r="J98" s="241">
        <f t="shared" si="70"/>
        <v>8.9491530269486024</v>
      </c>
      <c r="K98" s="241">
        <f t="shared" si="70"/>
        <v>8.6604706712405832</v>
      </c>
      <c r="L98" s="241">
        <f t="shared" si="70"/>
        <v>8.9491530269486024</v>
      </c>
      <c r="M98" s="241">
        <f t="shared" si="70"/>
        <v>8.6604706712405832</v>
      </c>
      <c r="N98" s="241">
        <f t="shared" si="70"/>
        <v>8.9491530269486024</v>
      </c>
      <c r="O98" s="241">
        <f t="shared" si="70"/>
        <v>8.9491530269486024</v>
      </c>
      <c r="P98" s="241">
        <f t="shared" si="70"/>
        <v>8.6604706712405832</v>
      </c>
      <c r="Q98" s="241">
        <f t="shared" si="70"/>
        <v>8.9491530269486024</v>
      </c>
      <c r="R98" s="241">
        <f t="shared" si="70"/>
        <v>8.6604706712405832</v>
      </c>
      <c r="S98" s="318">
        <f t="shared" si="70"/>
        <v>8.9491530269486024</v>
      </c>
      <c r="T98" s="241">
        <f t="shared" si="70"/>
        <v>0.34641882684962338</v>
      </c>
      <c r="U98" s="241">
        <f t="shared" si="70"/>
        <v>0.34641882684962338</v>
      </c>
      <c r="V98" s="241">
        <f t="shared" si="70"/>
        <v>0.34641882684962338</v>
      </c>
      <c r="W98" s="241">
        <f t="shared" si="70"/>
        <v>0.34641882684962338</v>
      </c>
      <c r="X98" s="241">
        <f t="shared" si="70"/>
        <v>0.34641882684962338</v>
      </c>
      <c r="Y98" s="241">
        <f t="shared" si="70"/>
        <v>0.34641882684962338</v>
      </c>
      <c r="Z98" s="241">
        <f t="shared" si="70"/>
        <v>0.34641882684962338</v>
      </c>
      <c r="AA98" s="241">
        <f t="shared" si="70"/>
        <v>0.34641882684962338</v>
      </c>
      <c r="AB98" s="241">
        <f t="shared" si="70"/>
        <v>0.34641882684962338</v>
      </c>
      <c r="AC98" s="241">
        <f t="shared" si="70"/>
        <v>0.34641882684962338</v>
      </c>
      <c r="AD98" s="241">
        <f t="shared" si="70"/>
        <v>0.34641882684962338</v>
      </c>
      <c r="AE98" s="318">
        <f t="shared" si="70"/>
        <v>0.34641882684962338</v>
      </c>
      <c r="AF98" s="241">
        <f t="shared" si="70"/>
        <v>0.39260800376290639</v>
      </c>
      <c r="AG98" s="241">
        <f t="shared" si="70"/>
        <v>0.39260800376290639</v>
      </c>
      <c r="AH98" s="241">
        <f t="shared" si="70"/>
        <v>0.39260800376290639</v>
      </c>
      <c r="AI98" s="241">
        <f t="shared" si="70"/>
        <v>0.39260800376290639</v>
      </c>
      <c r="AJ98" s="241">
        <f t="shared" si="70"/>
        <v>0.39260800376290639</v>
      </c>
      <c r="AK98" s="241">
        <f t="shared" si="70"/>
        <v>0.39260800376290639</v>
      </c>
      <c r="AL98" s="241">
        <f t="shared" si="70"/>
        <v>0.39260800376290639</v>
      </c>
      <c r="AM98" s="241">
        <f t="shared" si="70"/>
        <v>0.39260800376290639</v>
      </c>
      <c r="AN98" s="241">
        <f t="shared" si="70"/>
        <v>0.39260800376290639</v>
      </c>
      <c r="AO98" s="241">
        <f t="shared" si="70"/>
        <v>0.39260800376290639</v>
      </c>
      <c r="AP98" s="241">
        <f t="shared" si="70"/>
        <v>0.39260800376290639</v>
      </c>
      <c r="AQ98" s="319">
        <f t="shared" si="70"/>
        <v>0.39260800376290639</v>
      </c>
    </row>
    <row r="99" spans="2:43" s="115" customFormat="1" x14ac:dyDescent="0.25">
      <c r="B99" s="247" t="s">
        <v>86</v>
      </c>
      <c r="C99" s="211">
        <f>Kainos!G132</f>
        <v>120.74749341469771</v>
      </c>
      <c r="D99" s="241">
        <f t="shared" ref="D99:AQ99" si="71">+$C$99*D89</f>
        <v>55.82503976364449</v>
      </c>
      <c r="E99" s="241">
        <f t="shared" si="71"/>
        <v>26.341148392178919</v>
      </c>
      <c r="F99" s="241">
        <f t="shared" si="71"/>
        <v>18.641428092926621</v>
      </c>
      <c r="G99" s="318">
        <f t="shared" si="71"/>
        <v>49.837287350477297</v>
      </c>
      <c r="H99" s="241">
        <f t="shared" si="71"/>
        <v>26.612416733548926</v>
      </c>
      <c r="I99" s="241">
        <f t="shared" si="71"/>
        <v>18.896155681774065</v>
      </c>
      <c r="J99" s="241">
        <f t="shared" si="71"/>
        <v>21.382230785915031</v>
      </c>
      <c r="K99" s="241">
        <f t="shared" si="71"/>
        <v>13.249142770571625</v>
      </c>
      <c r="L99" s="241">
        <f t="shared" si="71"/>
        <v>10.768029892187426</v>
      </c>
      <c r="M99" s="241">
        <f t="shared" si="71"/>
        <v>7.8899389532617548</v>
      </c>
      <c r="N99" s="241">
        <f t="shared" si="71"/>
        <v>6.614646933772276</v>
      </c>
      <c r="O99" s="241">
        <f t="shared" si="71"/>
        <v>7.3837919260713782</v>
      </c>
      <c r="P99" s="241">
        <f t="shared" si="71"/>
        <v>8.3365392713709117</v>
      </c>
      <c r="Q99" s="241">
        <f t="shared" si="71"/>
        <v>15.075241849062397</v>
      </c>
      <c r="R99" s="241">
        <f t="shared" si="71"/>
        <v>19.054946905990654</v>
      </c>
      <c r="S99" s="318">
        <f t="shared" si="71"/>
        <v>25.535613744330181</v>
      </c>
      <c r="T99" s="241">
        <f t="shared" si="71"/>
        <v>1.7169301118418663</v>
      </c>
      <c r="U99" s="241">
        <f t="shared" si="71"/>
        <v>1.3497254058410049</v>
      </c>
      <c r="V99" s="241">
        <f t="shared" si="71"/>
        <v>1.3794987603816149</v>
      </c>
      <c r="W99" s="241">
        <f t="shared" si="71"/>
        <v>0.8832761847047752</v>
      </c>
      <c r="X99" s="241">
        <f t="shared" si="71"/>
        <v>0.69471160594757586</v>
      </c>
      <c r="Y99" s="241">
        <f t="shared" si="71"/>
        <v>0.52599593021745039</v>
      </c>
      <c r="Z99" s="241">
        <f t="shared" si="71"/>
        <v>0.42675141508208236</v>
      </c>
      <c r="AA99" s="241">
        <f t="shared" si="71"/>
        <v>0.47637367264976632</v>
      </c>
      <c r="AB99" s="241">
        <f t="shared" si="71"/>
        <v>0.55576928475806087</v>
      </c>
      <c r="AC99" s="241">
        <f t="shared" si="71"/>
        <v>0.97259624832660629</v>
      </c>
      <c r="AD99" s="241">
        <f t="shared" si="71"/>
        <v>1.2703297937327105</v>
      </c>
      <c r="AE99" s="318">
        <f t="shared" si="71"/>
        <v>1.6474589512471087</v>
      </c>
      <c r="AF99" s="241">
        <f t="shared" si="71"/>
        <v>1.7169301118418663</v>
      </c>
      <c r="AG99" s="241">
        <f t="shared" si="71"/>
        <v>1.3497254058410049</v>
      </c>
      <c r="AH99" s="241">
        <f t="shared" si="71"/>
        <v>1.3794987603816149</v>
      </c>
      <c r="AI99" s="241">
        <f t="shared" si="71"/>
        <v>0.8832761847047752</v>
      </c>
      <c r="AJ99" s="241">
        <f t="shared" si="71"/>
        <v>0.69471160594757586</v>
      </c>
      <c r="AK99" s="241">
        <f t="shared" si="71"/>
        <v>0.52599593021745039</v>
      </c>
      <c r="AL99" s="241">
        <f t="shared" si="71"/>
        <v>0.42675141508208236</v>
      </c>
      <c r="AM99" s="241">
        <f t="shared" si="71"/>
        <v>0.47637367264976632</v>
      </c>
      <c r="AN99" s="241">
        <f t="shared" si="71"/>
        <v>0.55576928475806087</v>
      </c>
      <c r="AO99" s="241">
        <f t="shared" si="71"/>
        <v>0.97259624832660629</v>
      </c>
      <c r="AP99" s="241">
        <f t="shared" si="71"/>
        <v>1.2703297937327105</v>
      </c>
      <c r="AQ99" s="319">
        <f t="shared" si="71"/>
        <v>1.6474589512471087</v>
      </c>
    </row>
    <row r="100" spans="2:43" s="115" customFormat="1" ht="15.75" thickBot="1" x14ac:dyDescent="0.3">
      <c r="B100" s="248" t="s">
        <v>147</v>
      </c>
      <c r="C100" s="260">
        <f>Kainos!G133</f>
        <v>69.520695414110804</v>
      </c>
      <c r="D100" s="320">
        <f t="shared" ref="D100:AQ100" si="72">+$C$100*D89</f>
        <v>32.141417400359451</v>
      </c>
      <c r="E100" s="320">
        <f t="shared" si="72"/>
        <v>15.165987321502939</v>
      </c>
      <c r="F100" s="320">
        <f t="shared" si="72"/>
        <v>10.732852565986697</v>
      </c>
      <c r="G100" s="321">
        <f t="shared" si="72"/>
        <v>28.693952778454232</v>
      </c>
      <c r="H100" s="320">
        <f t="shared" si="72"/>
        <v>15.322170801611353</v>
      </c>
      <c r="I100" s="320">
        <f t="shared" si="72"/>
        <v>10.87951266316167</v>
      </c>
      <c r="J100" s="320">
        <f t="shared" si="72"/>
        <v>12.310877118057675</v>
      </c>
      <c r="K100" s="320">
        <f t="shared" si="72"/>
        <v>7.6282297296853088</v>
      </c>
      <c r="L100" s="320">
        <f t="shared" si="72"/>
        <v>6.1997222896693334</v>
      </c>
      <c r="M100" s="320">
        <f t="shared" si="72"/>
        <v>4.542653659250802</v>
      </c>
      <c r="N100" s="320">
        <f t="shared" si="72"/>
        <v>3.8084008350825904</v>
      </c>
      <c r="O100" s="320">
        <f t="shared" si="72"/>
        <v>4.2512381414875424</v>
      </c>
      <c r="P100" s="320">
        <f t="shared" si="72"/>
        <v>4.7997849984536778</v>
      </c>
      <c r="Q100" s="320">
        <f t="shared" si="72"/>
        <v>8.6796112055370678</v>
      </c>
      <c r="R100" s="320">
        <f t="shared" si="72"/>
        <v>10.970937139322691</v>
      </c>
      <c r="S100" s="321">
        <f t="shared" si="72"/>
        <v>14.702198572644418</v>
      </c>
      <c r="T100" s="320">
        <f t="shared" si="72"/>
        <v>0.98852714849105505</v>
      </c>
      <c r="U100" s="320">
        <f t="shared" si="72"/>
        <v>0.77710804736869077</v>
      </c>
      <c r="V100" s="320">
        <f t="shared" si="72"/>
        <v>0.79425013664888233</v>
      </c>
      <c r="W100" s="320">
        <f t="shared" si="72"/>
        <v>0.50854864864568738</v>
      </c>
      <c r="X100" s="320">
        <f t="shared" si="72"/>
        <v>0.39998208320447315</v>
      </c>
      <c r="Y100" s="320">
        <f t="shared" si="72"/>
        <v>0.30284357728338684</v>
      </c>
      <c r="Z100" s="320">
        <f t="shared" si="72"/>
        <v>0.2457032796827478</v>
      </c>
      <c r="AA100" s="320">
        <f t="shared" si="72"/>
        <v>0.27427342848306729</v>
      </c>
      <c r="AB100" s="320">
        <f t="shared" si="72"/>
        <v>0.31998566656357857</v>
      </c>
      <c r="AC100" s="320">
        <f t="shared" si="72"/>
        <v>0.55997491648626241</v>
      </c>
      <c r="AD100" s="320">
        <f t="shared" si="72"/>
        <v>0.7313958092881796</v>
      </c>
      <c r="AE100" s="321">
        <f t="shared" si="72"/>
        <v>0.94852894017060774</v>
      </c>
      <c r="AF100" s="320">
        <f t="shared" si="72"/>
        <v>0.98852714849105505</v>
      </c>
      <c r="AG100" s="320">
        <f t="shared" si="72"/>
        <v>0.77710804736869077</v>
      </c>
      <c r="AH100" s="320">
        <f t="shared" si="72"/>
        <v>0.79425013664888233</v>
      </c>
      <c r="AI100" s="320">
        <f t="shared" si="72"/>
        <v>0.50854864864568738</v>
      </c>
      <c r="AJ100" s="320">
        <f t="shared" si="72"/>
        <v>0.39998208320447315</v>
      </c>
      <c r="AK100" s="320">
        <f t="shared" si="72"/>
        <v>0.30284357728338684</v>
      </c>
      <c r="AL100" s="320">
        <f t="shared" si="72"/>
        <v>0.2457032796827478</v>
      </c>
      <c r="AM100" s="320">
        <f t="shared" si="72"/>
        <v>0.27427342848306729</v>
      </c>
      <c r="AN100" s="320">
        <f t="shared" si="72"/>
        <v>0.31998566656357857</v>
      </c>
      <c r="AO100" s="320">
        <f t="shared" si="72"/>
        <v>0.55997491648626241</v>
      </c>
      <c r="AP100" s="320">
        <f t="shared" si="72"/>
        <v>0.7313958092881796</v>
      </c>
      <c r="AQ100" s="322">
        <f t="shared" si="72"/>
        <v>0.94852894017060774</v>
      </c>
    </row>
    <row r="101" spans="2:43" s="115" customFormat="1" ht="15.75" x14ac:dyDescent="0.25">
      <c r="B101" s="337" t="s">
        <v>192</v>
      </c>
      <c r="C101" s="338"/>
      <c r="D101" s="338"/>
      <c r="E101" s="338"/>
      <c r="F101" s="338"/>
      <c r="G101" s="338"/>
      <c r="H101" s="338"/>
      <c r="I101" s="338"/>
      <c r="J101" s="338"/>
      <c r="K101" s="338"/>
      <c r="L101" s="338"/>
      <c r="M101" s="338"/>
      <c r="N101" s="338"/>
      <c r="O101" s="338"/>
      <c r="P101" s="338"/>
      <c r="Q101" s="338"/>
      <c r="R101" s="338"/>
      <c r="S101" s="338"/>
      <c r="T101" s="338"/>
      <c r="U101" s="338"/>
      <c r="V101" s="338"/>
      <c r="W101" s="338"/>
      <c r="X101" s="338"/>
      <c r="Y101" s="338"/>
      <c r="Z101" s="338"/>
      <c r="AA101" s="338"/>
      <c r="AB101" s="338"/>
      <c r="AC101" s="338"/>
      <c r="AD101" s="338"/>
      <c r="AE101" s="338"/>
      <c r="AF101" s="338"/>
      <c r="AG101" s="338"/>
      <c r="AH101" s="338"/>
      <c r="AI101" s="338"/>
      <c r="AJ101" s="338"/>
      <c r="AK101" s="338"/>
      <c r="AL101" s="338"/>
      <c r="AM101" s="338"/>
      <c r="AN101" s="338"/>
      <c r="AO101" s="338"/>
      <c r="AP101" s="338"/>
      <c r="AQ101" s="339"/>
    </row>
    <row r="102" spans="2:43" s="115" customFormat="1" x14ac:dyDescent="0.25">
      <c r="B102" s="256"/>
      <c r="C102" s="340" t="s">
        <v>79</v>
      </c>
      <c r="D102" s="343" t="s">
        <v>75</v>
      </c>
      <c r="E102" s="344"/>
      <c r="F102" s="344"/>
      <c r="G102" s="345"/>
      <c r="H102" s="343" t="s">
        <v>76</v>
      </c>
      <c r="I102" s="344"/>
      <c r="J102" s="344"/>
      <c r="K102" s="344"/>
      <c r="L102" s="344"/>
      <c r="M102" s="344"/>
      <c r="N102" s="344"/>
      <c r="O102" s="344"/>
      <c r="P102" s="344"/>
      <c r="Q102" s="344"/>
      <c r="R102" s="344"/>
      <c r="S102" s="345"/>
      <c r="T102" s="343" t="s">
        <v>77</v>
      </c>
      <c r="U102" s="344"/>
      <c r="V102" s="344"/>
      <c r="W102" s="344"/>
      <c r="X102" s="344"/>
      <c r="Y102" s="344"/>
      <c r="Z102" s="344"/>
      <c r="AA102" s="344"/>
      <c r="AB102" s="344"/>
      <c r="AC102" s="344"/>
      <c r="AD102" s="344"/>
      <c r="AE102" s="345"/>
      <c r="AF102" s="346" t="s">
        <v>78</v>
      </c>
      <c r="AG102" s="344"/>
      <c r="AH102" s="344"/>
      <c r="AI102" s="344"/>
      <c r="AJ102" s="344"/>
      <c r="AK102" s="344"/>
      <c r="AL102" s="344"/>
      <c r="AM102" s="344"/>
      <c r="AN102" s="344"/>
      <c r="AO102" s="344"/>
      <c r="AP102" s="344"/>
      <c r="AQ102" s="347"/>
    </row>
    <row r="103" spans="2:43" s="115" customFormat="1" x14ac:dyDescent="0.25">
      <c r="B103" s="245" t="s">
        <v>72</v>
      </c>
      <c r="C103" s="341"/>
      <c r="D103" s="226" t="s">
        <v>46</v>
      </c>
      <c r="E103" s="309" t="s">
        <v>47</v>
      </c>
      <c r="F103" s="309" t="s">
        <v>48</v>
      </c>
      <c r="G103" s="308" t="s">
        <v>49</v>
      </c>
      <c r="H103" s="226" t="s">
        <v>13</v>
      </c>
      <c r="I103" s="309" t="s">
        <v>14</v>
      </c>
      <c r="J103" s="309" t="s">
        <v>15</v>
      </c>
      <c r="K103" s="309" t="s">
        <v>16</v>
      </c>
      <c r="L103" s="309" t="s">
        <v>17</v>
      </c>
      <c r="M103" s="309" t="s">
        <v>18</v>
      </c>
      <c r="N103" s="309" t="s">
        <v>19</v>
      </c>
      <c r="O103" s="309" t="s">
        <v>20</v>
      </c>
      <c r="P103" s="309" t="s">
        <v>21</v>
      </c>
      <c r="Q103" s="309" t="s">
        <v>22</v>
      </c>
      <c r="R103" s="309" t="s">
        <v>23</v>
      </c>
      <c r="S103" s="308" t="s">
        <v>24</v>
      </c>
      <c r="T103" s="226" t="s">
        <v>13</v>
      </c>
      <c r="U103" s="309" t="s">
        <v>14</v>
      </c>
      <c r="V103" s="309" t="s">
        <v>15</v>
      </c>
      <c r="W103" s="309" t="s">
        <v>16</v>
      </c>
      <c r="X103" s="309" t="s">
        <v>17</v>
      </c>
      <c r="Y103" s="309" t="s">
        <v>18</v>
      </c>
      <c r="Z103" s="309" t="s">
        <v>19</v>
      </c>
      <c r="AA103" s="309" t="s">
        <v>20</v>
      </c>
      <c r="AB103" s="309" t="s">
        <v>21</v>
      </c>
      <c r="AC103" s="309" t="s">
        <v>22</v>
      </c>
      <c r="AD103" s="309" t="s">
        <v>23</v>
      </c>
      <c r="AE103" s="308" t="s">
        <v>24</v>
      </c>
      <c r="AF103" s="227" t="s">
        <v>13</v>
      </c>
      <c r="AG103" s="309" t="s">
        <v>14</v>
      </c>
      <c r="AH103" s="309" t="s">
        <v>15</v>
      </c>
      <c r="AI103" s="309" t="s">
        <v>16</v>
      </c>
      <c r="AJ103" s="309" t="s">
        <v>17</v>
      </c>
      <c r="AK103" s="309" t="s">
        <v>18</v>
      </c>
      <c r="AL103" s="309" t="s">
        <v>19</v>
      </c>
      <c r="AM103" s="309" t="s">
        <v>20</v>
      </c>
      <c r="AN103" s="309" t="s">
        <v>21</v>
      </c>
      <c r="AO103" s="309" t="s">
        <v>22</v>
      </c>
      <c r="AP103" s="309" t="s">
        <v>23</v>
      </c>
      <c r="AQ103" s="246" t="s">
        <v>24</v>
      </c>
    </row>
    <row r="104" spans="2:43" s="115" customFormat="1" x14ac:dyDescent="0.25">
      <c r="B104" s="245" t="s">
        <v>73</v>
      </c>
      <c r="C104" s="341"/>
      <c r="D104" s="202">
        <f>1/$C$14*D14*$D$24</f>
        <v>0.27123287671232882</v>
      </c>
      <c r="E104" s="197">
        <f>1/$C$14*E14*$D$24</f>
        <v>0.27424657534246577</v>
      </c>
      <c r="F104" s="197">
        <f>1/$C$14*F14*$D$24</f>
        <v>0.27726027397260278</v>
      </c>
      <c r="G104" s="197">
        <f>1/$C$14*G14*$D$24</f>
        <v>0.27726027397260278</v>
      </c>
      <c r="H104" s="202">
        <f t="shared" ref="H104:S104" si="73">1/$C$14*H14*$E$24</f>
        <v>0.10616438356164383</v>
      </c>
      <c r="I104" s="200">
        <f t="shared" si="73"/>
        <v>9.5890410958904118E-2</v>
      </c>
      <c r="J104" s="200">
        <f t="shared" si="73"/>
        <v>0.10616438356164383</v>
      </c>
      <c r="K104" s="200">
        <f t="shared" si="73"/>
        <v>0.10273972602739725</v>
      </c>
      <c r="L104" s="200">
        <f t="shared" si="73"/>
        <v>0.10616438356164383</v>
      </c>
      <c r="M104" s="200">
        <f t="shared" si="73"/>
        <v>0.10273972602739725</v>
      </c>
      <c r="N104" s="200">
        <f t="shared" si="73"/>
        <v>0.10616438356164383</v>
      </c>
      <c r="O104" s="200">
        <f t="shared" si="73"/>
        <v>0.10616438356164383</v>
      </c>
      <c r="P104" s="200">
        <f t="shared" si="73"/>
        <v>0.10273972602739725</v>
      </c>
      <c r="Q104" s="200">
        <f t="shared" si="73"/>
        <v>0.10616438356164383</v>
      </c>
      <c r="R104" s="200">
        <f t="shared" si="73"/>
        <v>0.10273972602739725</v>
      </c>
      <c r="S104" s="198">
        <f t="shared" si="73"/>
        <v>0.10616438356164383</v>
      </c>
      <c r="T104" s="200">
        <f t="shared" ref="T104:AE104" si="74">1/$C$14*$F$24</f>
        <v>4.1095890410958909E-3</v>
      </c>
      <c r="U104" s="200">
        <f t="shared" si="74"/>
        <v>4.1095890410958909E-3</v>
      </c>
      <c r="V104" s="200">
        <f t="shared" si="74"/>
        <v>4.1095890410958909E-3</v>
      </c>
      <c r="W104" s="200">
        <f t="shared" si="74"/>
        <v>4.1095890410958909E-3</v>
      </c>
      <c r="X104" s="200">
        <f t="shared" si="74"/>
        <v>4.1095890410958909E-3</v>
      </c>
      <c r="Y104" s="200">
        <f t="shared" si="74"/>
        <v>4.1095890410958909E-3</v>
      </c>
      <c r="Z104" s="200">
        <f t="shared" si="74"/>
        <v>4.1095890410958909E-3</v>
      </c>
      <c r="AA104" s="200">
        <f t="shared" si="74"/>
        <v>4.1095890410958909E-3</v>
      </c>
      <c r="AB104" s="200">
        <f t="shared" si="74"/>
        <v>4.1095890410958909E-3</v>
      </c>
      <c r="AC104" s="200">
        <f t="shared" si="74"/>
        <v>4.1095890410958909E-3</v>
      </c>
      <c r="AD104" s="200">
        <f t="shared" si="74"/>
        <v>4.1095890410958909E-3</v>
      </c>
      <c r="AE104" s="198">
        <f t="shared" si="74"/>
        <v>4.1095890410958909E-3</v>
      </c>
      <c r="AF104" s="200">
        <f t="shared" ref="AF104:AQ104" si="75">1/$C$14*$G$24</f>
        <v>4.6575342465753422E-3</v>
      </c>
      <c r="AG104" s="200">
        <f t="shared" si="75"/>
        <v>4.6575342465753422E-3</v>
      </c>
      <c r="AH104" s="200">
        <f t="shared" si="75"/>
        <v>4.6575342465753422E-3</v>
      </c>
      <c r="AI104" s="200">
        <f t="shared" si="75"/>
        <v>4.6575342465753422E-3</v>
      </c>
      <c r="AJ104" s="200">
        <f t="shared" si="75"/>
        <v>4.6575342465753422E-3</v>
      </c>
      <c r="AK104" s="200">
        <f t="shared" si="75"/>
        <v>4.6575342465753422E-3</v>
      </c>
      <c r="AL104" s="200">
        <f t="shared" si="75"/>
        <v>4.6575342465753422E-3</v>
      </c>
      <c r="AM104" s="200">
        <f t="shared" si="75"/>
        <v>4.6575342465753422E-3</v>
      </c>
      <c r="AN104" s="200">
        <f t="shared" si="75"/>
        <v>4.6575342465753422E-3</v>
      </c>
      <c r="AO104" s="200">
        <f t="shared" si="75"/>
        <v>4.6575342465753422E-3</v>
      </c>
      <c r="AP104" s="200">
        <f t="shared" si="75"/>
        <v>4.6575342465753422E-3</v>
      </c>
      <c r="AQ104" s="257">
        <f t="shared" si="75"/>
        <v>4.6575342465753422E-3</v>
      </c>
    </row>
    <row r="105" spans="2:43" s="115" customFormat="1" x14ac:dyDescent="0.25">
      <c r="B105" s="245" t="s">
        <v>153</v>
      </c>
      <c r="C105" s="341"/>
      <c r="D105" s="202">
        <f>1/$C$14*D14*$H$24</f>
        <v>0.27123287671232882</v>
      </c>
      <c r="E105" s="197">
        <f>1/$C$14*E14*$H$24</f>
        <v>0.27424657534246577</v>
      </c>
      <c r="F105" s="197">
        <f>1/$C$14*F14*$H$24</f>
        <v>0.27726027397260278</v>
      </c>
      <c r="G105" s="197">
        <f>1/$C$14*G14*$H$24</f>
        <v>0.27726027397260278</v>
      </c>
      <c r="H105" s="202">
        <f t="shared" ref="H105:S105" si="76">1/$C$14*H14*$I$24</f>
        <v>0.10616438356164383</v>
      </c>
      <c r="I105" s="200">
        <f t="shared" si="76"/>
        <v>9.5890410958904118E-2</v>
      </c>
      <c r="J105" s="200">
        <f t="shared" si="76"/>
        <v>0.10616438356164383</v>
      </c>
      <c r="K105" s="200">
        <f t="shared" si="76"/>
        <v>0.10273972602739725</v>
      </c>
      <c r="L105" s="200">
        <f t="shared" si="76"/>
        <v>0.10616438356164383</v>
      </c>
      <c r="M105" s="200">
        <f t="shared" si="76"/>
        <v>0.10273972602739725</v>
      </c>
      <c r="N105" s="200">
        <f t="shared" si="76"/>
        <v>0.10616438356164383</v>
      </c>
      <c r="O105" s="200">
        <f t="shared" si="76"/>
        <v>0.10616438356164383</v>
      </c>
      <c r="P105" s="200">
        <f t="shared" si="76"/>
        <v>0.10273972602739725</v>
      </c>
      <c r="Q105" s="200">
        <f t="shared" si="76"/>
        <v>0.10616438356164383</v>
      </c>
      <c r="R105" s="200">
        <f t="shared" si="76"/>
        <v>0.10273972602739725</v>
      </c>
      <c r="S105" s="198">
        <f t="shared" si="76"/>
        <v>0.10616438356164383</v>
      </c>
      <c r="T105" s="200">
        <f t="shared" ref="T105:AE105" si="77">1/$C$14*$J$24</f>
        <v>4.1095890410958909E-3</v>
      </c>
      <c r="U105" s="200">
        <f t="shared" si="77"/>
        <v>4.1095890410958909E-3</v>
      </c>
      <c r="V105" s="200">
        <f t="shared" si="77"/>
        <v>4.1095890410958909E-3</v>
      </c>
      <c r="W105" s="200">
        <f t="shared" si="77"/>
        <v>4.1095890410958909E-3</v>
      </c>
      <c r="X105" s="200">
        <f t="shared" si="77"/>
        <v>4.1095890410958909E-3</v>
      </c>
      <c r="Y105" s="200">
        <f t="shared" si="77"/>
        <v>4.1095890410958909E-3</v>
      </c>
      <c r="Z105" s="200">
        <f t="shared" si="77"/>
        <v>4.1095890410958909E-3</v>
      </c>
      <c r="AA105" s="200">
        <f t="shared" si="77"/>
        <v>4.1095890410958909E-3</v>
      </c>
      <c r="AB105" s="200">
        <f t="shared" si="77"/>
        <v>4.1095890410958909E-3</v>
      </c>
      <c r="AC105" s="200">
        <f t="shared" si="77"/>
        <v>4.1095890410958909E-3</v>
      </c>
      <c r="AD105" s="200">
        <f t="shared" si="77"/>
        <v>4.1095890410958909E-3</v>
      </c>
      <c r="AE105" s="198">
        <f t="shared" si="77"/>
        <v>4.1095890410958909E-3</v>
      </c>
      <c r="AF105" s="200">
        <f t="shared" ref="AF105:AQ105" si="78">1/$C$14*$K$24</f>
        <v>4.6575342465753422E-3</v>
      </c>
      <c r="AG105" s="200">
        <f t="shared" si="78"/>
        <v>4.6575342465753422E-3</v>
      </c>
      <c r="AH105" s="200">
        <f t="shared" si="78"/>
        <v>4.6575342465753422E-3</v>
      </c>
      <c r="AI105" s="200">
        <f t="shared" si="78"/>
        <v>4.6575342465753422E-3</v>
      </c>
      <c r="AJ105" s="200">
        <f t="shared" si="78"/>
        <v>4.6575342465753422E-3</v>
      </c>
      <c r="AK105" s="200">
        <f t="shared" si="78"/>
        <v>4.6575342465753422E-3</v>
      </c>
      <c r="AL105" s="200">
        <f t="shared" si="78"/>
        <v>4.6575342465753422E-3</v>
      </c>
      <c r="AM105" s="200">
        <f t="shared" si="78"/>
        <v>4.6575342465753422E-3</v>
      </c>
      <c r="AN105" s="200">
        <f t="shared" si="78"/>
        <v>4.6575342465753422E-3</v>
      </c>
      <c r="AO105" s="200">
        <f t="shared" si="78"/>
        <v>4.6575342465753422E-3</v>
      </c>
      <c r="AP105" s="200">
        <f t="shared" si="78"/>
        <v>4.6575342465753422E-3</v>
      </c>
      <c r="AQ105" s="257">
        <f t="shared" si="78"/>
        <v>4.6575342465753422E-3</v>
      </c>
    </row>
    <row r="106" spans="2:43" s="115" customFormat="1" x14ac:dyDescent="0.25">
      <c r="B106" s="245" t="s">
        <v>74</v>
      </c>
      <c r="C106" s="341"/>
      <c r="D106" s="202">
        <f>1/$C$14*D14*$L$24*D45</f>
        <v>0.46232876712328769</v>
      </c>
      <c r="E106" s="197">
        <f>1/$C$14*E14*$L$24*E45</f>
        <v>0.21815068493150686</v>
      </c>
      <c r="F106" s="197">
        <f>1/$C$14*F14*$L$24*F45</f>
        <v>0.15438356164383563</v>
      </c>
      <c r="G106" s="197">
        <f>1/$C$14*G14*$L$24*G45</f>
        <v>0.41273972602739734</v>
      </c>
      <c r="H106" s="202">
        <f t="shared" ref="H106:S106" si="79">1/$C$14*H14*$M$24*H45</f>
        <v>0.22039726027397261</v>
      </c>
      <c r="I106" s="200">
        <f t="shared" si="79"/>
        <v>0.15649315068493153</v>
      </c>
      <c r="J106" s="200">
        <f t="shared" si="79"/>
        <v>0.17708219178082191</v>
      </c>
      <c r="K106" s="200">
        <f t="shared" si="79"/>
        <v>0.10972602739726027</v>
      </c>
      <c r="L106" s="200">
        <f t="shared" si="79"/>
        <v>8.9178082191780819E-2</v>
      </c>
      <c r="M106" s="200">
        <f t="shared" si="79"/>
        <v>6.5342465753424658E-2</v>
      </c>
      <c r="N106" s="200">
        <f t="shared" si="79"/>
        <v>5.4780821917808219E-2</v>
      </c>
      <c r="O106" s="200">
        <f t="shared" si="79"/>
        <v>6.1150684931506848E-2</v>
      </c>
      <c r="P106" s="200">
        <f t="shared" si="79"/>
        <v>6.9041095890410964E-2</v>
      </c>
      <c r="Q106" s="200">
        <f t="shared" si="79"/>
        <v>0.12484931506849316</v>
      </c>
      <c r="R106" s="200">
        <f t="shared" si="79"/>
        <v>0.15780821917808219</v>
      </c>
      <c r="S106" s="198">
        <f t="shared" si="79"/>
        <v>0.21147945205479451</v>
      </c>
      <c r="T106" s="200">
        <f t="shared" ref="T106:AE106" si="80">1/$C$14*$N$24*T45</f>
        <v>1.4219178082191782E-2</v>
      </c>
      <c r="U106" s="200">
        <f t="shared" si="80"/>
        <v>1.1178082191780825E-2</v>
      </c>
      <c r="V106" s="200">
        <f t="shared" si="80"/>
        <v>1.1424657534246575E-2</v>
      </c>
      <c r="W106" s="200">
        <f t="shared" si="80"/>
        <v>7.3150684931506862E-3</v>
      </c>
      <c r="X106" s="200">
        <f t="shared" si="80"/>
        <v>5.7534246575342467E-3</v>
      </c>
      <c r="Y106" s="200">
        <f t="shared" si="80"/>
        <v>4.3561643835616443E-3</v>
      </c>
      <c r="Z106" s="200">
        <f t="shared" si="80"/>
        <v>3.5342465753424659E-3</v>
      </c>
      <c r="AA106" s="200">
        <f t="shared" si="80"/>
        <v>3.9452054794520547E-3</v>
      </c>
      <c r="AB106" s="200">
        <f t="shared" si="80"/>
        <v>4.6027397260273986E-3</v>
      </c>
      <c r="AC106" s="200">
        <f t="shared" si="80"/>
        <v>8.0547945205479456E-3</v>
      </c>
      <c r="AD106" s="200">
        <f t="shared" si="80"/>
        <v>1.0520547945205481E-2</v>
      </c>
      <c r="AE106" s="198">
        <f t="shared" si="80"/>
        <v>1.3643835616438357E-2</v>
      </c>
      <c r="AF106" s="200">
        <f t="shared" ref="AF106:AQ106" si="81">1/$C$14*$N$24*T45</f>
        <v>1.4219178082191782E-2</v>
      </c>
      <c r="AG106" s="200">
        <f t="shared" si="81"/>
        <v>1.1178082191780825E-2</v>
      </c>
      <c r="AH106" s="200">
        <f t="shared" si="81"/>
        <v>1.1424657534246575E-2</v>
      </c>
      <c r="AI106" s="200">
        <f t="shared" si="81"/>
        <v>7.3150684931506862E-3</v>
      </c>
      <c r="AJ106" s="200">
        <f t="shared" si="81"/>
        <v>5.7534246575342467E-3</v>
      </c>
      <c r="AK106" s="200">
        <f t="shared" si="81"/>
        <v>4.3561643835616443E-3</v>
      </c>
      <c r="AL106" s="200">
        <f t="shared" si="81"/>
        <v>3.5342465753424659E-3</v>
      </c>
      <c r="AM106" s="200">
        <f t="shared" si="81"/>
        <v>3.9452054794520547E-3</v>
      </c>
      <c r="AN106" s="200">
        <f t="shared" si="81"/>
        <v>4.6027397260273986E-3</v>
      </c>
      <c r="AO106" s="200">
        <f t="shared" si="81"/>
        <v>8.0547945205479456E-3</v>
      </c>
      <c r="AP106" s="200">
        <f t="shared" si="81"/>
        <v>1.0520547945205481E-2</v>
      </c>
      <c r="AQ106" s="257">
        <f t="shared" si="81"/>
        <v>1.3643835616438357E-2</v>
      </c>
    </row>
    <row r="107" spans="2:43" s="115" customFormat="1" x14ac:dyDescent="0.25">
      <c r="B107" s="245" t="s">
        <v>154</v>
      </c>
      <c r="C107" s="341"/>
      <c r="D107" s="202">
        <f>1/$C$14*D14*$L$24*D35</f>
        <v>0.46232876712328769</v>
      </c>
      <c r="E107" s="197">
        <f>1/$C$14*E14*$L$24*E35</f>
        <v>0.21815068493150686</v>
      </c>
      <c r="F107" s="197">
        <f>1/$C$14*F14*$L$24*F35</f>
        <v>0.15438356164383563</v>
      </c>
      <c r="G107" s="197">
        <f>1/$C$14*G14*$L$24*G35</f>
        <v>0.41273972602739734</v>
      </c>
      <c r="H107" s="202">
        <f t="shared" ref="H107:S107" si="82">1/$C$14*H14*$M$24*H35</f>
        <v>0.22039726027397261</v>
      </c>
      <c r="I107" s="200">
        <f t="shared" si="82"/>
        <v>0.15649315068493153</v>
      </c>
      <c r="J107" s="200">
        <f t="shared" si="82"/>
        <v>0.17708219178082191</v>
      </c>
      <c r="K107" s="200">
        <f t="shared" si="82"/>
        <v>0.10972602739726027</v>
      </c>
      <c r="L107" s="200">
        <f t="shared" si="82"/>
        <v>8.9178082191780819E-2</v>
      </c>
      <c r="M107" s="200">
        <f t="shared" si="82"/>
        <v>6.5342465753424658E-2</v>
      </c>
      <c r="N107" s="200">
        <f t="shared" si="82"/>
        <v>5.4780821917808219E-2</v>
      </c>
      <c r="O107" s="200">
        <f t="shared" si="82"/>
        <v>6.1150684931506848E-2</v>
      </c>
      <c r="P107" s="200">
        <f t="shared" si="82"/>
        <v>6.9041095890410964E-2</v>
      </c>
      <c r="Q107" s="200">
        <f t="shared" si="82"/>
        <v>0.12484931506849316</v>
      </c>
      <c r="R107" s="200">
        <f t="shared" si="82"/>
        <v>0.15780821917808219</v>
      </c>
      <c r="S107" s="198">
        <f t="shared" si="82"/>
        <v>0.21147945205479451</v>
      </c>
      <c r="T107" s="200">
        <f t="shared" ref="T107:AE107" si="83">1/$C$14*$N$24*T35</f>
        <v>1.4219178082191782E-2</v>
      </c>
      <c r="U107" s="200">
        <f t="shared" si="83"/>
        <v>1.1178082191780825E-2</v>
      </c>
      <c r="V107" s="200">
        <f t="shared" si="83"/>
        <v>1.1424657534246575E-2</v>
      </c>
      <c r="W107" s="200">
        <f t="shared" si="83"/>
        <v>7.3150684931506862E-3</v>
      </c>
      <c r="X107" s="200">
        <f t="shared" si="83"/>
        <v>5.7534246575342467E-3</v>
      </c>
      <c r="Y107" s="200">
        <f t="shared" si="83"/>
        <v>4.3561643835616443E-3</v>
      </c>
      <c r="Z107" s="200">
        <f t="shared" si="83"/>
        <v>3.5342465753424659E-3</v>
      </c>
      <c r="AA107" s="200">
        <f t="shared" si="83"/>
        <v>3.9452054794520547E-3</v>
      </c>
      <c r="AB107" s="200">
        <f t="shared" si="83"/>
        <v>4.6027397260273986E-3</v>
      </c>
      <c r="AC107" s="200">
        <f t="shared" si="83"/>
        <v>8.0547945205479456E-3</v>
      </c>
      <c r="AD107" s="200">
        <f t="shared" si="83"/>
        <v>1.0520547945205481E-2</v>
      </c>
      <c r="AE107" s="198">
        <f t="shared" si="83"/>
        <v>1.3643835616438357E-2</v>
      </c>
      <c r="AF107" s="200">
        <f t="shared" ref="AF107:AQ107" si="84">1/$C$14*$N$24*T35</f>
        <v>1.4219178082191782E-2</v>
      </c>
      <c r="AG107" s="200">
        <f t="shared" si="84"/>
        <v>1.1178082191780825E-2</v>
      </c>
      <c r="AH107" s="200">
        <f t="shared" si="84"/>
        <v>1.1424657534246575E-2</v>
      </c>
      <c r="AI107" s="200">
        <f t="shared" si="84"/>
        <v>7.3150684931506862E-3</v>
      </c>
      <c r="AJ107" s="200">
        <f t="shared" si="84"/>
        <v>5.7534246575342467E-3</v>
      </c>
      <c r="AK107" s="200">
        <f t="shared" si="84"/>
        <v>4.3561643835616443E-3</v>
      </c>
      <c r="AL107" s="200">
        <f t="shared" si="84"/>
        <v>3.5342465753424659E-3</v>
      </c>
      <c r="AM107" s="200">
        <f t="shared" si="84"/>
        <v>3.9452054794520547E-3</v>
      </c>
      <c r="AN107" s="200">
        <f t="shared" si="84"/>
        <v>4.6027397260273986E-3</v>
      </c>
      <c r="AO107" s="200">
        <f t="shared" si="84"/>
        <v>8.0547945205479456E-3</v>
      </c>
      <c r="AP107" s="200">
        <f t="shared" si="84"/>
        <v>1.0520547945205481E-2</v>
      </c>
      <c r="AQ107" s="257">
        <f t="shared" si="84"/>
        <v>1.3643835616438357E-2</v>
      </c>
    </row>
    <row r="108" spans="2:43" s="115" customFormat="1" x14ac:dyDescent="0.25">
      <c r="B108" s="247" t="s">
        <v>80</v>
      </c>
      <c r="C108" s="211">
        <f>ROUND(Kainos!H120,2)</f>
        <v>142.77000000000001</v>
      </c>
      <c r="D108" s="241">
        <f t="shared" ref="D108:AQ108" si="85">$C$108*D104</f>
        <v>38.723917808219191</v>
      </c>
      <c r="E108" s="241">
        <f t="shared" si="85"/>
        <v>39.154183561643841</v>
      </c>
      <c r="F108" s="241">
        <f t="shared" si="85"/>
        <v>39.584449315068504</v>
      </c>
      <c r="G108" s="318">
        <f t="shared" si="85"/>
        <v>39.584449315068504</v>
      </c>
      <c r="H108" s="241">
        <f t="shared" si="85"/>
        <v>15.15708904109589</v>
      </c>
      <c r="I108" s="241">
        <f t="shared" si="85"/>
        <v>13.690273972602743</v>
      </c>
      <c r="J108" s="241">
        <f t="shared" si="85"/>
        <v>15.15708904109589</v>
      </c>
      <c r="K108" s="241">
        <f t="shared" si="85"/>
        <v>14.668150684931508</v>
      </c>
      <c r="L108" s="241">
        <f t="shared" si="85"/>
        <v>15.15708904109589</v>
      </c>
      <c r="M108" s="241">
        <f t="shared" si="85"/>
        <v>14.668150684931508</v>
      </c>
      <c r="N108" s="241">
        <f t="shared" si="85"/>
        <v>15.15708904109589</v>
      </c>
      <c r="O108" s="241">
        <f t="shared" si="85"/>
        <v>15.15708904109589</v>
      </c>
      <c r="P108" s="241">
        <f t="shared" si="85"/>
        <v>14.668150684931508</v>
      </c>
      <c r="Q108" s="241">
        <f t="shared" si="85"/>
        <v>15.15708904109589</v>
      </c>
      <c r="R108" s="241">
        <f t="shared" si="85"/>
        <v>14.668150684931508</v>
      </c>
      <c r="S108" s="318">
        <f t="shared" si="85"/>
        <v>15.15708904109589</v>
      </c>
      <c r="T108" s="241">
        <f t="shared" si="85"/>
        <v>0.58672602739726043</v>
      </c>
      <c r="U108" s="241">
        <f t="shared" si="85"/>
        <v>0.58672602739726043</v>
      </c>
      <c r="V108" s="241">
        <f t="shared" si="85"/>
        <v>0.58672602739726043</v>
      </c>
      <c r="W108" s="241">
        <f t="shared" si="85"/>
        <v>0.58672602739726043</v>
      </c>
      <c r="X108" s="241">
        <f t="shared" si="85"/>
        <v>0.58672602739726043</v>
      </c>
      <c r="Y108" s="241">
        <f t="shared" si="85"/>
        <v>0.58672602739726043</v>
      </c>
      <c r="Z108" s="241">
        <f t="shared" si="85"/>
        <v>0.58672602739726043</v>
      </c>
      <c r="AA108" s="241">
        <f t="shared" si="85"/>
        <v>0.58672602739726043</v>
      </c>
      <c r="AB108" s="241">
        <f t="shared" si="85"/>
        <v>0.58672602739726043</v>
      </c>
      <c r="AC108" s="241">
        <f t="shared" si="85"/>
        <v>0.58672602739726043</v>
      </c>
      <c r="AD108" s="241">
        <f t="shared" si="85"/>
        <v>0.58672602739726043</v>
      </c>
      <c r="AE108" s="318">
        <f t="shared" si="85"/>
        <v>0.58672602739726043</v>
      </c>
      <c r="AF108" s="241">
        <f t="shared" si="85"/>
        <v>0.66495616438356164</v>
      </c>
      <c r="AG108" s="241">
        <f t="shared" si="85"/>
        <v>0.66495616438356164</v>
      </c>
      <c r="AH108" s="241">
        <f t="shared" si="85"/>
        <v>0.66495616438356164</v>
      </c>
      <c r="AI108" s="241">
        <f t="shared" si="85"/>
        <v>0.66495616438356164</v>
      </c>
      <c r="AJ108" s="241">
        <f t="shared" si="85"/>
        <v>0.66495616438356164</v>
      </c>
      <c r="AK108" s="241">
        <f t="shared" si="85"/>
        <v>0.66495616438356164</v>
      </c>
      <c r="AL108" s="241">
        <f t="shared" si="85"/>
        <v>0.66495616438356164</v>
      </c>
      <c r="AM108" s="241">
        <f t="shared" si="85"/>
        <v>0.66495616438356164</v>
      </c>
      <c r="AN108" s="241">
        <f t="shared" si="85"/>
        <v>0.66495616438356164</v>
      </c>
      <c r="AO108" s="241">
        <f t="shared" si="85"/>
        <v>0.66495616438356164</v>
      </c>
      <c r="AP108" s="241">
        <f t="shared" si="85"/>
        <v>0.66495616438356164</v>
      </c>
      <c r="AQ108" s="319">
        <f t="shared" si="85"/>
        <v>0.66495616438356164</v>
      </c>
    </row>
    <row r="109" spans="2:43" s="115" customFormat="1" x14ac:dyDescent="0.25">
      <c r="B109" s="323" t="s">
        <v>181</v>
      </c>
      <c r="C109" s="211">
        <f>ROUND(Kainos!H121,2)</f>
        <v>142.77000000000001</v>
      </c>
      <c r="D109" s="241">
        <f>$C109*D104</f>
        <v>38.723917808219191</v>
      </c>
      <c r="E109" s="241">
        <f t="shared" ref="E109:AQ109" si="86">$C109*E104</f>
        <v>39.154183561643841</v>
      </c>
      <c r="F109" s="241">
        <f t="shared" si="86"/>
        <v>39.584449315068504</v>
      </c>
      <c r="G109" s="318">
        <f t="shared" si="86"/>
        <v>39.584449315068504</v>
      </c>
      <c r="H109" s="241">
        <f t="shared" si="86"/>
        <v>15.15708904109589</v>
      </c>
      <c r="I109" s="241">
        <f t="shared" si="86"/>
        <v>13.690273972602743</v>
      </c>
      <c r="J109" s="241">
        <f t="shared" si="86"/>
        <v>15.15708904109589</v>
      </c>
      <c r="K109" s="241">
        <f t="shared" si="86"/>
        <v>14.668150684931508</v>
      </c>
      <c r="L109" s="241">
        <f t="shared" si="86"/>
        <v>15.15708904109589</v>
      </c>
      <c r="M109" s="241">
        <f t="shared" si="86"/>
        <v>14.668150684931508</v>
      </c>
      <c r="N109" s="241">
        <f t="shared" si="86"/>
        <v>15.15708904109589</v>
      </c>
      <c r="O109" s="241">
        <f t="shared" si="86"/>
        <v>15.15708904109589</v>
      </c>
      <c r="P109" s="241">
        <f t="shared" si="86"/>
        <v>14.668150684931508</v>
      </c>
      <c r="Q109" s="241">
        <f t="shared" si="86"/>
        <v>15.15708904109589</v>
      </c>
      <c r="R109" s="241">
        <f t="shared" si="86"/>
        <v>14.668150684931508</v>
      </c>
      <c r="S109" s="318">
        <f t="shared" si="86"/>
        <v>15.15708904109589</v>
      </c>
      <c r="T109" s="241">
        <f t="shared" si="86"/>
        <v>0.58672602739726043</v>
      </c>
      <c r="U109" s="241">
        <f t="shared" si="86"/>
        <v>0.58672602739726043</v>
      </c>
      <c r="V109" s="241">
        <f t="shared" si="86"/>
        <v>0.58672602739726043</v>
      </c>
      <c r="W109" s="241">
        <f t="shared" si="86"/>
        <v>0.58672602739726043</v>
      </c>
      <c r="X109" s="241">
        <f t="shared" si="86"/>
        <v>0.58672602739726043</v>
      </c>
      <c r="Y109" s="241">
        <f t="shared" si="86"/>
        <v>0.58672602739726043</v>
      </c>
      <c r="Z109" s="241">
        <f t="shared" si="86"/>
        <v>0.58672602739726043</v>
      </c>
      <c r="AA109" s="241">
        <f t="shared" si="86"/>
        <v>0.58672602739726043</v>
      </c>
      <c r="AB109" s="241">
        <f t="shared" si="86"/>
        <v>0.58672602739726043</v>
      </c>
      <c r="AC109" s="241">
        <f t="shared" si="86"/>
        <v>0.58672602739726043</v>
      </c>
      <c r="AD109" s="241">
        <f t="shared" si="86"/>
        <v>0.58672602739726043</v>
      </c>
      <c r="AE109" s="318">
        <f t="shared" si="86"/>
        <v>0.58672602739726043</v>
      </c>
      <c r="AF109" s="241">
        <f t="shared" si="86"/>
        <v>0.66495616438356164</v>
      </c>
      <c r="AG109" s="241">
        <f t="shared" si="86"/>
        <v>0.66495616438356164</v>
      </c>
      <c r="AH109" s="241">
        <f t="shared" si="86"/>
        <v>0.66495616438356164</v>
      </c>
      <c r="AI109" s="241">
        <f t="shared" si="86"/>
        <v>0.66495616438356164</v>
      </c>
      <c r="AJ109" s="241">
        <f t="shared" si="86"/>
        <v>0.66495616438356164</v>
      </c>
      <c r="AK109" s="241">
        <f t="shared" si="86"/>
        <v>0.66495616438356164</v>
      </c>
      <c r="AL109" s="241">
        <f t="shared" si="86"/>
        <v>0.66495616438356164</v>
      </c>
      <c r="AM109" s="241">
        <f t="shared" si="86"/>
        <v>0.66495616438356164</v>
      </c>
      <c r="AN109" s="241">
        <f t="shared" si="86"/>
        <v>0.66495616438356164</v>
      </c>
      <c r="AO109" s="241">
        <f t="shared" si="86"/>
        <v>0.66495616438356164</v>
      </c>
      <c r="AP109" s="241">
        <f t="shared" si="86"/>
        <v>0.66495616438356164</v>
      </c>
      <c r="AQ109" s="319">
        <f t="shared" si="86"/>
        <v>0.66495616438356164</v>
      </c>
    </row>
    <row r="110" spans="2:43" s="115" customFormat="1" x14ac:dyDescent="0.25">
      <c r="B110" s="247" t="s">
        <v>81</v>
      </c>
      <c r="C110" s="211">
        <f>ROUND(Kainos!H122,2)</f>
        <v>35.96</v>
      </c>
      <c r="D110" s="241">
        <f t="shared" ref="D110:AQ110" si="87">$C$110*D104</f>
        <v>9.7535342465753452</v>
      </c>
      <c r="E110" s="241">
        <f t="shared" si="87"/>
        <v>9.8619068493150692</v>
      </c>
      <c r="F110" s="241">
        <f t="shared" si="87"/>
        <v>9.9702794520547968</v>
      </c>
      <c r="G110" s="318">
        <f t="shared" si="87"/>
        <v>9.9702794520547968</v>
      </c>
      <c r="H110" s="241">
        <f t="shared" si="87"/>
        <v>3.8176712328767124</v>
      </c>
      <c r="I110" s="241">
        <f t="shared" si="87"/>
        <v>3.448219178082192</v>
      </c>
      <c r="J110" s="241">
        <f t="shared" si="87"/>
        <v>3.8176712328767124</v>
      </c>
      <c r="K110" s="241">
        <f t="shared" si="87"/>
        <v>3.6945205479452055</v>
      </c>
      <c r="L110" s="241">
        <f t="shared" si="87"/>
        <v>3.8176712328767124</v>
      </c>
      <c r="M110" s="241">
        <f t="shared" si="87"/>
        <v>3.6945205479452055</v>
      </c>
      <c r="N110" s="241">
        <f t="shared" si="87"/>
        <v>3.8176712328767124</v>
      </c>
      <c r="O110" s="241">
        <f t="shared" si="87"/>
        <v>3.8176712328767124</v>
      </c>
      <c r="P110" s="241">
        <f t="shared" si="87"/>
        <v>3.6945205479452055</v>
      </c>
      <c r="Q110" s="241">
        <f t="shared" si="87"/>
        <v>3.8176712328767124</v>
      </c>
      <c r="R110" s="241">
        <f t="shared" si="87"/>
        <v>3.6945205479452055</v>
      </c>
      <c r="S110" s="318">
        <f t="shared" si="87"/>
        <v>3.8176712328767124</v>
      </c>
      <c r="T110" s="241">
        <f t="shared" si="87"/>
        <v>0.14778082191780825</v>
      </c>
      <c r="U110" s="241">
        <f t="shared" si="87"/>
        <v>0.14778082191780825</v>
      </c>
      <c r="V110" s="241">
        <f t="shared" si="87"/>
        <v>0.14778082191780825</v>
      </c>
      <c r="W110" s="241">
        <f t="shared" si="87"/>
        <v>0.14778082191780825</v>
      </c>
      <c r="X110" s="241">
        <f t="shared" si="87"/>
        <v>0.14778082191780825</v>
      </c>
      <c r="Y110" s="241">
        <f t="shared" si="87"/>
        <v>0.14778082191780825</v>
      </c>
      <c r="Z110" s="241">
        <f t="shared" si="87"/>
        <v>0.14778082191780825</v>
      </c>
      <c r="AA110" s="241">
        <f t="shared" si="87"/>
        <v>0.14778082191780825</v>
      </c>
      <c r="AB110" s="241">
        <f t="shared" si="87"/>
        <v>0.14778082191780825</v>
      </c>
      <c r="AC110" s="241">
        <f t="shared" si="87"/>
        <v>0.14778082191780825</v>
      </c>
      <c r="AD110" s="241">
        <f t="shared" si="87"/>
        <v>0.14778082191780825</v>
      </c>
      <c r="AE110" s="318">
        <f t="shared" si="87"/>
        <v>0.14778082191780825</v>
      </c>
      <c r="AF110" s="241">
        <f t="shared" si="87"/>
        <v>0.16748493150684932</v>
      </c>
      <c r="AG110" s="241">
        <f t="shared" si="87"/>
        <v>0.16748493150684932</v>
      </c>
      <c r="AH110" s="241">
        <f t="shared" si="87"/>
        <v>0.16748493150684932</v>
      </c>
      <c r="AI110" s="241">
        <f t="shared" si="87"/>
        <v>0.16748493150684932</v>
      </c>
      <c r="AJ110" s="241">
        <f t="shared" si="87"/>
        <v>0.16748493150684932</v>
      </c>
      <c r="AK110" s="241">
        <f t="shared" si="87"/>
        <v>0.16748493150684932</v>
      </c>
      <c r="AL110" s="241">
        <f t="shared" si="87"/>
        <v>0.16748493150684932</v>
      </c>
      <c r="AM110" s="241">
        <f t="shared" si="87"/>
        <v>0.16748493150684932</v>
      </c>
      <c r="AN110" s="241">
        <f t="shared" si="87"/>
        <v>0.16748493150684932</v>
      </c>
      <c r="AO110" s="241">
        <f t="shared" si="87"/>
        <v>0.16748493150684932</v>
      </c>
      <c r="AP110" s="241">
        <f t="shared" si="87"/>
        <v>0.16748493150684932</v>
      </c>
      <c r="AQ110" s="319">
        <f t="shared" si="87"/>
        <v>0.16748493150684932</v>
      </c>
    </row>
    <row r="111" spans="2:43" s="115" customFormat="1" x14ac:dyDescent="0.25">
      <c r="B111" s="247" t="s">
        <v>82</v>
      </c>
      <c r="C111" s="211">
        <f>ROUND(Kainos!H123,2)</f>
        <v>142.77000000000001</v>
      </c>
      <c r="D111" s="241">
        <f t="shared" ref="D111:AQ111" si="88">$C$111*D104</f>
        <v>38.723917808219191</v>
      </c>
      <c r="E111" s="241">
        <f t="shared" si="88"/>
        <v>39.154183561643841</v>
      </c>
      <c r="F111" s="241">
        <f t="shared" si="88"/>
        <v>39.584449315068504</v>
      </c>
      <c r="G111" s="318">
        <f t="shared" si="88"/>
        <v>39.584449315068504</v>
      </c>
      <c r="H111" s="241">
        <f t="shared" si="88"/>
        <v>15.15708904109589</v>
      </c>
      <c r="I111" s="241">
        <f t="shared" si="88"/>
        <v>13.690273972602743</v>
      </c>
      <c r="J111" s="241">
        <f t="shared" si="88"/>
        <v>15.15708904109589</v>
      </c>
      <c r="K111" s="241">
        <f t="shared" si="88"/>
        <v>14.668150684931508</v>
      </c>
      <c r="L111" s="241">
        <f t="shared" si="88"/>
        <v>15.15708904109589</v>
      </c>
      <c r="M111" s="241">
        <f t="shared" si="88"/>
        <v>14.668150684931508</v>
      </c>
      <c r="N111" s="241">
        <f t="shared" si="88"/>
        <v>15.15708904109589</v>
      </c>
      <c r="O111" s="241">
        <f t="shared" si="88"/>
        <v>15.15708904109589</v>
      </c>
      <c r="P111" s="241">
        <f t="shared" si="88"/>
        <v>14.668150684931508</v>
      </c>
      <c r="Q111" s="241">
        <f t="shared" si="88"/>
        <v>15.15708904109589</v>
      </c>
      <c r="R111" s="241">
        <f t="shared" si="88"/>
        <v>14.668150684931508</v>
      </c>
      <c r="S111" s="318">
        <f t="shared" si="88"/>
        <v>15.15708904109589</v>
      </c>
      <c r="T111" s="241">
        <f t="shared" si="88"/>
        <v>0.58672602739726043</v>
      </c>
      <c r="U111" s="241">
        <f t="shared" si="88"/>
        <v>0.58672602739726043</v>
      </c>
      <c r="V111" s="241">
        <f t="shared" si="88"/>
        <v>0.58672602739726043</v>
      </c>
      <c r="W111" s="241">
        <f t="shared" si="88"/>
        <v>0.58672602739726043</v>
      </c>
      <c r="X111" s="241">
        <f t="shared" si="88"/>
        <v>0.58672602739726043</v>
      </c>
      <c r="Y111" s="241">
        <f t="shared" si="88"/>
        <v>0.58672602739726043</v>
      </c>
      <c r="Z111" s="241">
        <f t="shared" si="88"/>
        <v>0.58672602739726043</v>
      </c>
      <c r="AA111" s="241">
        <f t="shared" si="88"/>
        <v>0.58672602739726043</v>
      </c>
      <c r="AB111" s="241">
        <f t="shared" si="88"/>
        <v>0.58672602739726043</v>
      </c>
      <c r="AC111" s="241">
        <f t="shared" si="88"/>
        <v>0.58672602739726043</v>
      </c>
      <c r="AD111" s="241">
        <f t="shared" si="88"/>
        <v>0.58672602739726043</v>
      </c>
      <c r="AE111" s="318">
        <f t="shared" si="88"/>
        <v>0.58672602739726043</v>
      </c>
      <c r="AF111" s="241">
        <f t="shared" si="88"/>
        <v>0.66495616438356164</v>
      </c>
      <c r="AG111" s="241">
        <f t="shared" si="88"/>
        <v>0.66495616438356164</v>
      </c>
      <c r="AH111" s="241">
        <f t="shared" si="88"/>
        <v>0.66495616438356164</v>
      </c>
      <c r="AI111" s="241">
        <f t="shared" si="88"/>
        <v>0.66495616438356164</v>
      </c>
      <c r="AJ111" s="241">
        <f t="shared" si="88"/>
        <v>0.66495616438356164</v>
      </c>
      <c r="AK111" s="241">
        <f t="shared" si="88"/>
        <v>0.66495616438356164</v>
      </c>
      <c r="AL111" s="241">
        <f t="shared" si="88"/>
        <v>0.66495616438356164</v>
      </c>
      <c r="AM111" s="241">
        <f t="shared" si="88"/>
        <v>0.66495616438356164</v>
      </c>
      <c r="AN111" s="241">
        <f t="shared" si="88"/>
        <v>0.66495616438356164</v>
      </c>
      <c r="AO111" s="241">
        <f t="shared" si="88"/>
        <v>0.66495616438356164</v>
      </c>
      <c r="AP111" s="241">
        <f t="shared" si="88"/>
        <v>0.66495616438356164</v>
      </c>
      <c r="AQ111" s="319">
        <f t="shared" si="88"/>
        <v>0.66495616438356164</v>
      </c>
    </row>
    <row r="112" spans="2:43" s="115" customFormat="1" x14ac:dyDescent="0.25">
      <c r="B112" s="247" t="s">
        <v>83</v>
      </c>
      <c r="C112" s="211">
        <f>ROUND(Kainos!H124,2)</f>
        <v>142.77000000000001</v>
      </c>
      <c r="D112" s="241">
        <f t="shared" ref="D112:AQ112" si="89">$C$112*D104</f>
        <v>38.723917808219191</v>
      </c>
      <c r="E112" s="241">
        <f t="shared" si="89"/>
        <v>39.154183561643841</v>
      </c>
      <c r="F112" s="241">
        <f t="shared" si="89"/>
        <v>39.584449315068504</v>
      </c>
      <c r="G112" s="318">
        <f t="shared" si="89"/>
        <v>39.584449315068504</v>
      </c>
      <c r="H112" s="241">
        <f t="shared" si="89"/>
        <v>15.15708904109589</v>
      </c>
      <c r="I112" s="241">
        <f t="shared" si="89"/>
        <v>13.690273972602743</v>
      </c>
      <c r="J112" s="241">
        <f t="shared" si="89"/>
        <v>15.15708904109589</v>
      </c>
      <c r="K112" s="241">
        <f t="shared" si="89"/>
        <v>14.668150684931508</v>
      </c>
      <c r="L112" s="241">
        <f t="shared" si="89"/>
        <v>15.15708904109589</v>
      </c>
      <c r="M112" s="241">
        <f t="shared" si="89"/>
        <v>14.668150684931508</v>
      </c>
      <c r="N112" s="241">
        <f t="shared" si="89"/>
        <v>15.15708904109589</v>
      </c>
      <c r="O112" s="241">
        <f t="shared" si="89"/>
        <v>15.15708904109589</v>
      </c>
      <c r="P112" s="241">
        <f t="shared" si="89"/>
        <v>14.668150684931508</v>
      </c>
      <c r="Q112" s="241">
        <f t="shared" si="89"/>
        <v>15.15708904109589</v>
      </c>
      <c r="R112" s="241">
        <f t="shared" si="89"/>
        <v>14.668150684931508</v>
      </c>
      <c r="S112" s="318">
        <f t="shared" si="89"/>
        <v>15.15708904109589</v>
      </c>
      <c r="T112" s="241">
        <f t="shared" si="89"/>
        <v>0.58672602739726043</v>
      </c>
      <c r="U112" s="241">
        <f t="shared" si="89"/>
        <v>0.58672602739726043</v>
      </c>
      <c r="V112" s="241">
        <f t="shared" si="89"/>
        <v>0.58672602739726043</v>
      </c>
      <c r="W112" s="241">
        <f t="shared" si="89"/>
        <v>0.58672602739726043</v>
      </c>
      <c r="X112" s="241">
        <f t="shared" si="89"/>
        <v>0.58672602739726043</v>
      </c>
      <c r="Y112" s="241">
        <f t="shared" si="89"/>
        <v>0.58672602739726043</v>
      </c>
      <c r="Z112" s="241">
        <f t="shared" si="89"/>
        <v>0.58672602739726043</v>
      </c>
      <c r="AA112" s="241">
        <f t="shared" si="89"/>
        <v>0.58672602739726043</v>
      </c>
      <c r="AB112" s="241">
        <f t="shared" si="89"/>
        <v>0.58672602739726043</v>
      </c>
      <c r="AC112" s="241">
        <f t="shared" si="89"/>
        <v>0.58672602739726043</v>
      </c>
      <c r="AD112" s="241">
        <f t="shared" si="89"/>
        <v>0.58672602739726043</v>
      </c>
      <c r="AE112" s="318">
        <f t="shared" si="89"/>
        <v>0.58672602739726043</v>
      </c>
      <c r="AF112" s="241">
        <f t="shared" si="89"/>
        <v>0.66495616438356164</v>
      </c>
      <c r="AG112" s="241">
        <f t="shared" si="89"/>
        <v>0.66495616438356164</v>
      </c>
      <c r="AH112" s="241">
        <f t="shared" si="89"/>
        <v>0.66495616438356164</v>
      </c>
      <c r="AI112" s="241">
        <f t="shared" si="89"/>
        <v>0.66495616438356164</v>
      </c>
      <c r="AJ112" s="241">
        <f t="shared" si="89"/>
        <v>0.66495616438356164</v>
      </c>
      <c r="AK112" s="241">
        <f t="shared" si="89"/>
        <v>0.66495616438356164</v>
      </c>
      <c r="AL112" s="241">
        <f t="shared" si="89"/>
        <v>0.66495616438356164</v>
      </c>
      <c r="AM112" s="241">
        <f t="shared" si="89"/>
        <v>0.66495616438356164</v>
      </c>
      <c r="AN112" s="241">
        <f t="shared" si="89"/>
        <v>0.66495616438356164</v>
      </c>
      <c r="AO112" s="241">
        <f t="shared" si="89"/>
        <v>0.66495616438356164</v>
      </c>
      <c r="AP112" s="241">
        <f t="shared" si="89"/>
        <v>0.66495616438356164</v>
      </c>
      <c r="AQ112" s="319">
        <f t="shared" si="89"/>
        <v>0.66495616438356164</v>
      </c>
    </row>
    <row r="113" spans="2:43" s="115" customFormat="1" x14ac:dyDescent="0.25">
      <c r="B113" s="247" t="s">
        <v>149</v>
      </c>
      <c r="C113" s="211">
        <f>ROUND(Kainos!H125,2)</f>
        <v>142.77000000000001</v>
      </c>
      <c r="D113" s="241">
        <f t="shared" ref="D113:AQ113" si="90">$C$113*D104</f>
        <v>38.723917808219191</v>
      </c>
      <c r="E113" s="241">
        <f t="shared" si="90"/>
        <v>39.154183561643841</v>
      </c>
      <c r="F113" s="241">
        <f t="shared" si="90"/>
        <v>39.584449315068504</v>
      </c>
      <c r="G113" s="318">
        <f t="shared" si="90"/>
        <v>39.584449315068504</v>
      </c>
      <c r="H113" s="241">
        <f t="shared" si="90"/>
        <v>15.15708904109589</v>
      </c>
      <c r="I113" s="241">
        <f t="shared" si="90"/>
        <v>13.690273972602743</v>
      </c>
      <c r="J113" s="241">
        <f t="shared" si="90"/>
        <v>15.15708904109589</v>
      </c>
      <c r="K113" s="241">
        <f t="shared" si="90"/>
        <v>14.668150684931508</v>
      </c>
      <c r="L113" s="241">
        <f t="shared" si="90"/>
        <v>15.15708904109589</v>
      </c>
      <c r="M113" s="241">
        <f t="shared" si="90"/>
        <v>14.668150684931508</v>
      </c>
      <c r="N113" s="241">
        <f t="shared" si="90"/>
        <v>15.15708904109589</v>
      </c>
      <c r="O113" s="241">
        <f t="shared" si="90"/>
        <v>15.15708904109589</v>
      </c>
      <c r="P113" s="241">
        <f t="shared" si="90"/>
        <v>14.668150684931508</v>
      </c>
      <c r="Q113" s="241">
        <f t="shared" si="90"/>
        <v>15.15708904109589</v>
      </c>
      <c r="R113" s="241">
        <f t="shared" si="90"/>
        <v>14.668150684931508</v>
      </c>
      <c r="S113" s="318">
        <f t="shared" si="90"/>
        <v>15.15708904109589</v>
      </c>
      <c r="T113" s="241">
        <f t="shared" si="90"/>
        <v>0.58672602739726043</v>
      </c>
      <c r="U113" s="241">
        <f t="shared" si="90"/>
        <v>0.58672602739726043</v>
      </c>
      <c r="V113" s="241">
        <f t="shared" si="90"/>
        <v>0.58672602739726043</v>
      </c>
      <c r="W113" s="241">
        <f t="shared" si="90"/>
        <v>0.58672602739726043</v>
      </c>
      <c r="X113" s="241">
        <f t="shared" si="90"/>
        <v>0.58672602739726043</v>
      </c>
      <c r="Y113" s="241">
        <f t="shared" si="90"/>
        <v>0.58672602739726043</v>
      </c>
      <c r="Z113" s="241">
        <f t="shared" si="90"/>
        <v>0.58672602739726043</v>
      </c>
      <c r="AA113" s="241">
        <f t="shared" si="90"/>
        <v>0.58672602739726043</v>
      </c>
      <c r="AB113" s="241">
        <f t="shared" si="90"/>
        <v>0.58672602739726043</v>
      </c>
      <c r="AC113" s="241">
        <f t="shared" si="90"/>
        <v>0.58672602739726043</v>
      </c>
      <c r="AD113" s="241">
        <f t="shared" si="90"/>
        <v>0.58672602739726043</v>
      </c>
      <c r="AE113" s="318">
        <f t="shared" si="90"/>
        <v>0.58672602739726043</v>
      </c>
      <c r="AF113" s="241">
        <f t="shared" si="90"/>
        <v>0.66495616438356164</v>
      </c>
      <c r="AG113" s="241">
        <f t="shared" si="90"/>
        <v>0.66495616438356164</v>
      </c>
      <c r="AH113" s="241">
        <f t="shared" si="90"/>
        <v>0.66495616438356164</v>
      </c>
      <c r="AI113" s="241">
        <f t="shared" si="90"/>
        <v>0.66495616438356164</v>
      </c>
      <c r="AJ113" s="241">
        <f t="shared" si="90"/>
        <v>0.66495616438356164</v>
      </c>
      <c r="AK113" s="241">
        <f t="shared" si="90"/>
        <v>0.66495616438356164</v>
      </c>
      <c r="AL113" s="241">
        <f t="shared" si="90"/>
        <v>0.66495616438356164</v>
      </c>
      <c r="AM113" s="241">
        <f t="shared" si="90"/>
        <v>0.66495616438356164</v>
      </c>
      <c r="AN113" s="241">
        <f t="shared" si="90"/>
        <v>0.66495616438356164</v>
      </c>
      <c r="AO113" s="241">
        <f t="shared" si="90"/>
        <v>0.66495616438356164</v>
      </c>
      <c r="AP113" s="241">
        <f t="shared" si="90"/>
        <v>0.66495616438356164</v>
      </c>
      <c r="AQ113" s="319">
        <f t="shared" si="90"/>
        <v>0.66495616438356164</v>
      </c>
    </row>
    <row r="114" spans="2:43" s="115" customFormat="1" x14ac:dyDescent="0.25">
      <c r="B114" s="247" t="s">
        <v>84</v>
      </c>
      <c r="C114" s="211">
        <f>ROUND(Kainos!H126,2)</f>
        <v>88.97</v>
      </c>
      <c r="D114" s="241">
        <f t="shared" ref="D114:AQ114" si="91">$C$114*D105</f>
        <v>24.131589041095896</v>
      </c>
      <c r="E114" s="241">
        <f t="shared" si="91"/>
        <v>24.399717808219179</v>
      </c>
      <c r="F114" s="241">
        <f t="shared" si="91"/>
        <v>24.66784657534247</v>
      </c>
      <c r="G114" s="318">
        <f t="shared" si="91"/>
        <v>24.66784657534247</v>
      </c>
      <c r="H114" s="241">
        <f t="shared" si="91"/>
        <v>9.4454452054794515</v>
      </c>
      <c r="I114" s="241">
        <f t="shared" si="91"/>
        <v>8.5313698630136994</v>
      </c>
      <c r="J114" s="241">
        <f t="shared" si="91"/>
        <v>9.4454452054794515</v>
      </c>
      <c r="K114" s="241">
        <f t="shared" si="91"/>
        <v>9.1407534246575342</v>
      </c>
      <c r="L114" s="241">
        <f t="shared" si="91"/>
        <v>9.4454452054794515</v>
      </c>
      <c r="M114" s="241">
        <f t="shared" si="91"/>
        <v>9.1407534246575342</v>
      </c>
      <c r="N114" s="241">
        <f t="shared" si="91"/>
        <v>9.4454452054794515</v>
      </c>
      <c r="O114" s="241">
        <f t="shared" si="91"/>
        <v>9.4454452054794515</v>
      </c>
      <c r="P114" s="241">
        <f t="shared" si="91"/>
        <v>9.1407534246575342</v>
      </c>
      <c r="Q114" s="241">
        <f t="shared" si="91"/>
        <v>9.4454452054794515</v>
      </c>
      <c r="R114" s="241">
        <f t="shared" si="91"/>
        <v>9.1407534246575342</v>
      </c>
      <c r="S114" s="318">
        <f t="shared" si="91"/>
        <v>9.4454452054794515</v>
      </c>
      <c r="T114" s="241">
        <f t="shared" si="91"/>
        <v>0.36563013698630142</v>
      </c>
      <c r="U114" s="241">
        <f t="shared" si="91"/>
        <v>0.36563013698630142</v>
      </c>
      <c r="V114" s="241">
        <f t="shared" si="91"/>
        <v>0.36563013698630142</v>
      </c>
      <c r="W114" s="241">
        <f t="shared" si="91"/>
        <v>0.36563013698630142</v>
      </c>
      <c r="X114" s="241">
        <f t="shared" si="91"/>
        <v>0.36563013698630142</v>
      </c>
      <c r="Y114" s="241">
        <f t="shared" si="91"/>
        <v>0.36563013698630142</v>
      </c>
      <c r="Z114" s="241">
        <f t="shared" si="91"/>
        <v>0.36563013698630142</v>
      </c>
      <c r="AA114" s="241">
        <f t="shared" si="91"/>
        <v>0.36563013698630142</v>
      </c>
      <c r="AB114" s="241">
        <f t="shared" si="91"/>
        <v>0.36563013698630142</v>
      </c>
      <c r="AC114" s="241">
        <f t="shared" si="91"/>
        <v>0.36563013698630142</v>
      </c>
      <c r="AD114" s="241">
        <f t="shared" si="91"/>
        <v>0.36563013698630142</v>
      </c>
      <c r="AE114" s="318">
        <f t="shared" si="91"/>
        <v>0.36563013698630142</v>
      </c>
      <c r="AF114" s="241">
        <f t="shared" si="91"/>
        <v>0.41438082191780817</v>
      </c>
      <c r="AG114" s="241">
        <f t="shared" si="91"/>
        <v>0.41438082191780817</v>
      </c>
      <c r="AH114" s="241">
        <f t="shared" si="91"/>
        <v>0.41438082191780817</v>
      </c>
      <c r="AI114" s="241">
        <f t="shared" si="91"/>
        <v>0.41438082191780817</v>
      </c>
      <c r="AJ114" s="241">
        <f t="shared" si="91"/>
        <v>0.41438082191780817</v>
      </c>
      <c r="AK114" s="241">
        <f t="shared" si="91"/>
        <v>0.41438082191780817</v>
      </c>
      <c r="AL114" s="241">
        <f t="shared" si="91"/>
        <v>0.41438082191780817</v>
      </c>
      <c r="AM114" s="241">
        <f t="shared" si="91"/>
        <v>0.41438082191780817</v>
      </c>
      <c r="AN114" s="241">
        <f t="shared" si="91"/>
        <v>0.41438082191780817</v>
      </c>
      <c r="AO114" s="241">
        <f t="shared" si="91"/>
        <v>0.41438082191780817</v>
      </c>
      <c r="AP114" s="241">
        <f t="shared" si="91"/>
        <v>0.41438082191780817</v>
      </c>
      <c r="AQ114" s="319">
        <f t="shared" si="91"/>
        <v>0.41438082191780817</v>
      </c>
    </row>
    <row r="115" spans="2:43" s="115" customFormat="1" x14ac:dyDescent="0.25">
      <c r="B115" s="247" t="s">
        <v>85</v>
      </c>
      <c r="C115" s="211">
        <f>ROUND(Kainos!H127,2)</f>
        <v>63.98</v>
      </c>
      <c r="D115" s="241">
        <f t="shared" ref="D115:AQ115" si="92">$C$115*D106</f>
        <v>29.579794520547946</v>
      </c>
      <c r="E115" s="241">
        <f t="shared" si="92"/>
        <v>13.957280821917808</v>
      </c>
      <c r="F115" s="241">
        <f t="shared" si="92"/>
        <v>9.8774602739726021</v>
      </c>
      <c r="G115" s="318">
        <f t="shared" si="92"/>
        <v>26.40708767123288</v>
      </c>
      <c r="H115" s="241">
        <f t="shared" si="92"/>
        <v>14.101016712328766</v>
      </c>
      <c r="I115" s="241">
        <f t="shared" si="92"/>
        <v>10.012431780821919</v>
      </c>
      <c r="J115" s="241">
        <f t="shared" si="92"/>
        <v>11.329718630136986</v>
      </c>
      <c r="K115" s="241">
        <f t="shared" si="92"/>
        <v>7.0202712328767118</v>
      </c>
      <c r="L115" s="241">
        <f t="shared" si="92"/>
        <v>5.7056136986301365</v>
      </c>
      <c r="M115" s="241">
        <f t="shared" si="92"/>
        <v>4.1806109589041096</v>
      </c>
      <c r="N115" s="241">
        <f t="shared" si="92"/>
        <v>3.5048769863013698</v>
      </c>
      <c r="O115" s="241">
        <f t="shared" si="92"/>
        <v>3.912420821917808</v>
      </c>
      <c r="P115" s="241">
        <f t="shared" si="92"/>
        <v>4.4172493150684931</v>
      </c>
      <c r="Q115" s="241">
        <f t="shared" si="92"/>
        <v>7.9878591780821919</v>
      </c>
      <c r="R115" s="241">
        <f t="shared" si="92"/>
        <v>10.096569863013698</v>
      </c>
      <c r="S115" s="318">
        <f t="shared" si="92"/>
        <v>13.530455342465752</v>
      </c>
      <c r="T115" s="241">
        <f t="shared" si="92"/>
        <v>0.9097430136986302</v>
      </c>
      <c r="U115" s="241">
        <f t="shared" si="92"/>
        <v>0.71517369863013713</v>
      </c>
      <c r="V115" s="241">
        <f t="shared" si="92"/>
        <v>0.73094958904109586</v>
      </c>
      <c r="W115" s="241">
        <f t="shared" si="92"/>
        <v>0.46801808219178087</v>
      </c>
      <c r="X115" s="241">
        <f t="shared" si="92"/>
        <v>0.36810410958904111</v>
      </c>
      <c r="Y115" s="241">
        <f t="shared" si="92"/>
        <v>0.27870739726027399</v>
      </c>
      <c r="Z115" s="241">
        <f t="shared" si="92"/>
        <v>0.22612109589041096</v>
      </c>
      <c r="AA115" s="241">
        <f t="shared" si="92"/>
        <v>0.25241424657534245</v>
      </c>
      <c r="AB115" s="241">
        <f t="shared" si="92"/>
        <v>0.29448328767123294</v>
      </c>
      <c r="AC115" s="241">
        <f t="shared" si="92"/>
        <v>0.51534575342465749</v>
      </c>
      <c r="AD115" s="241">
        <f t="shared" si="92"/>
        <v>0.67310465753424664</v>
      </c>
      <c r="AE115" s="318">
        <f t="shared" si="92"/>
        <v>0.87293260273972606</v>
      </c>
      <c r="AF115" s="241">
        <f t="shared" si="92"/>
        <v>0.9097430136986302</v>
      </c>
      <c r="AG115" s="241">
        <f t="shared" si="92"/>
        <v>0.71517369863013713</v>
      </c>
      <c r="AH115" s="241">
        <f t="shared" si="92"/>
        <v>0.73094958904109586</v>
      </c>
      <c r="AI115" s="241">
        <f t="shared" si="92"/>
        <v>0.46801808219178087</v>
      </c>
      <c r="AJ115" s="241">
        <f t="shared" si="92"/>
        <v>0.36810410958904111</v>
      </c>
      <c r="AK115" s="241">
        <f t="shared" si="92"/>
        <v>0.27870739726027399</v>
      </c>
      <c r="AL115" s="241">
        <f t="shared" si="92"/>
        <v>0.22612109589041096</v>
      </c>
      <c r="AM115" s="241">
        <f t="shared" si="92"/>
        <v>0.25241424657534245</v>
      </c>
      <c r="AN115" s="241">
        <f t="shared" si="92"/>
        <v>0.29448328767123294</v>
      </c>
      <c r="AO115" s="241">
        <f t="shared" si="92"/>
        <v>0.51534575342465749</v>
      </c>
      <c r="AP115" s="241">
        <f t="shared" si="92"/>
        <v>0.67310465753424664</v>
      </c>
      <c r="AQ115" s="319">
        <f t="shared" si="92"/>
        <v>0.87293260273972606</v>
      </c>
    </row>
    <row r="116" spans="2:43" s="115" customFormat="1" x14ac:dyDescent="0.25">
      <c r="B116" s="247" t="s">
        <v>137</v>
      </c>
      <c r="C116" s="211">
        <f>ROUND(Kainos!H128,2)</f>
        <v>88.97</v>
      </c>
      <c r="D116" s="241">
        <f t="shared" ref="D116:AQ116" si="93">$C$116*D105</f>
        <v>24.131589041095896</v>
      </c>
      <c r="E116" s="241">
        <f t="shared" si="93"/>
        <v>24.399717808219179</v>
      </c>
      <c r="F116" s="241">
        <f t="shared" si="93"/>
        <v>24.66784657534247</v>
      </c>
      <c r="G116" s="318">
        <f t="shared" si="93"/>
        <v>24.66784657534247</v>
      </c>
      <c r="H116" s="241">
        <f t="shared" si="93"/>
        <v>9.4454452054794515</v>
      </c>
      <c r="I116" s="241">
        <f t="shared" si="93"/>
        <v>8.5313698630136994</v>
      </c>
      <c r="J116" s="241">
        <f t="shared" si="93"/>
        <v>9.4454452054794515</v>
      </c>
      <c r="K116" s="241">
        <f t="shared" si="93"/>
        <v>9.1407534246575342</v>
      </c>
      <c r="L116" s="241">
        <f t="shared" si="93"/>
        <v>9.4454452054794515</v>
      </c>
      <c r="M116" s="241">
        <f t="shared" si="93"/>
        <v>9.1407534246575342</v>
      </c>
      <c r="N116" s="241">
        <f t="shared" si="93"/>
        <v>9.4454452054794515</v>
      </c>
      <c r="O116" s="241">
        <f t="shared" si="93"/>
        <v>9.4454452054794515</v>
      </c>
      <c r="P116" s="241">
        <f t="shared" si="93"/>
        <v>9.1407534246575342</v>
      </c>
      <c r="Q116" s="241">
        <f t="shared" si="93"/>
        <v>9.4454452054794515</v>
      </c>
      <c r="R116" s="241">
        <f t="shared" si="93"/>
        <v>9.1407534246575342</v>
      </c>
      <c r="S116" s="318">
        <f t="shared" si="93"/>
        <v>9.4454452054794515</v>
      </c>
      <c r="T116" s="241">
        <f t="shared" si="93"/>
        <v>0.36563013698630142</v>
      </c>
      <c r="U116" s="241">
        <f t="shared" si="93"/>
        <v>0.36563013698630142</v>
      </c>
      <c r="V116" s="241">
        <f t="shared" si="93"/>
        <v>0.36563013698630142</v>
      </c>
      <c r="W116" s="241">
        <f t="shared" si="93"/>
        <v>0.36563013698630142</v>
      </c>
      <c r="X116" s="241">
        <f t="shared" si="93"/>
        <v>0.36563013698630142</v>
      </c>
      <c r="Y116" s="241">
        <f t="shared" si="93"/>
        <v>0.36563013698630142</v>
      </c>
      <c r="Z116" s="241">
        <f t="shared" si="93"/>
        <v>0.36563013698630142</v>
      </c>
      <c r="AA116" s="241">
        <f t="shared" si="93"/>
        <v>0.36563013698630142</v>
      </c>
      <c r="AB116" s="241">
        <f t="shared" si="93"/>
        <v>0.36563013698630142</v>
      </c>
      <c r="AC116" s="241">
        <f t="shared" si="93"/>
        <v>0.36563013698630142</v>
      </c>
      <c r="AD116" s="241">
        <f t="shared" si="93"/>
        <v>0.36563013698630142</v>
      </c>
      <c r="AE116" s="318">
        <f t="shared" si="93"/>
        <v>0.36563013698630142</v>
      </c>
      <c r="AF116" s="241">
        <f t="shared" si="93"/>
        <v>0.41438082191780817</v>
      </c>
      <c r="AG116" s="241">
        <f t="shared" si="93"/>
        <v>0.41438082191780817</v>
      </c>
      <c r="AH116" s="241">
        <f t="shared" si="93"/>
        <v>0.41438082191780817</v>
      </c>
      <c r="AI116" s="241">
        <f t="shared" si="93"/>
        <v>0.41438082191780817</v>
      </c>
      <c r="AJ116" s="241">
        <f t="shared" si="93"/>
        <v>0.41438082191780817</v>
      </c>
      <c r="AK116" s="241">
        <f t="shared" si="93"/>
        <v>0.41438082191780817</v>
      </c>
      <c r="AL116" s="241">
        <f t="shared" si="93"/>
        <v>0.41438082191780817</v>
      </c>
      <c r="AM116" s="241">
        <f t="shared" si="93"/>
        <v>0.41438082191780817</v>
      </c>
      <c r="AN116" s="241">
        <f t="shared" si="93"/>
        <v>0.41438082191780817</v>
      </c>
      <c r="AO116" s="241">
        <f t="shared" si="93"/>
        <v>0.41438082191780817</v>
      </c>
      <c r="AP116" s="241">
        <f t="shared" si="93"/>
        <v>0.41438082191780817</v>
      </c>
      <c r="AQ116" s="319">
        <f t="shared" si="93"/>
        <v>0.41438082191780817</v>
      </c>
    </row>
    <row r="117" spans="2:43" s="115" customFormat="1" x14ac:dyDescent="0.25">
      <c r="B117" s="247" t="s">
        <v>86</v>
      </c>
      <c r="C117" s="211">
        <f>ROUND(Kainos!H132,2)</f>
        <v>163.51</v>
      </c>
      <c r="D117" s="241">
        <f t="shared" ref="D117:AQ117" si="94">$C$117*D107</f>
        <v>75.595376712328772</v>
      </c>
      <c r="E117" s="241">
        <f t="shared" si="94"/>
        <v>35.669818493150686</v>
      </c>
      <c r="F117" s="241">
        <f t="shared" si="94"/>
        <v>25.243256164383563</v>
      </c>
      <c r="G117" s="318">
        <f t="shared" si="94"/>
        <v>67.48707260273973</v>
      </c>
      <c r="H117" s="241">
        <f t="shared" si="94"/>
        <v>36.037156027397259</v>
      </c>
      <c r="I117" s="241">
        <f t="shared" si="94"/>
        <v>25.588195068493153</v>
      </c>
      <c r="J117" s="241">
        <f t="shared" si="94"/>
        <v>28.95470917808219</v>
      </c>
      <c r="K117" s="241">
        <f t="shared" si="94"/>
        <v>17.941302739726027</v>
      </c>
      <c r="L117" s="241">
        <f t="shared" si="94"/>
        <v>14.581508219178081</v>
      </c>
      <c r="M117" s="241">
        <f t="shared" si="94"/>
        <v>10.684146575342465</v>
      </c>
      <c r="N117" s="241">
        <f t="shared" si="94"/>
        <v>8.9572121917808207</v>
      </c>
      <c r="O117" s="241">
        <f t="shared" si="94"/>
        <v>9.9987484931506838</v>
      </c>
      <c r="P117" s="241">
        <f t="shared" si="94"/>
        <v>11.288909589041095</v>
      </c>
      <c r="Q117" s="241">
        <f t="shared" si="94"/>
        <v>20.414111506849316</v>
      </c>
      <c r="R117" s="241">
        <f t="shared" si="94"/>
        <v>25.803221917808216</v>
      </c>
      <c r="S117" s="318">
        <f t="shared" si="94"/>
        <v>34.579005205479447</v>
      </c>
      <c r="T117" s="241">
        <f t="shared" si="94"/>
        <v>2.3249778082191783</v>
      </c>
      <c r="U117" s="241">
        <f t="shared" si="94"/>
        <v>1.8277282191780826</v>
      </c>
      <c r="V117" s="241">
        <f t="shared" si="94"/>
        <v>1.8680457534246575</v>
      </c>
      <c r="W117" s="241">
        <f t="shared" si="94"/>
        <v>1.1960868493150687</v>
      </c>
      <c r="X117" s="241">
        <f t="shared" si="94"/>
        <v>0.94074246575342457</v>
      </c>
      <c r="Y117" s="241">
        <f t="shared" si="94"/>
        <v>0.71227643835616439</v>
      </c>
      <c r="Z117" s="241">
        <f t="shared" si="94"/>
        <v>0.57788465753424656</v>
      </c>
      <c r="AA117" s="241">
        <f t="shared" si="94"/>
        <v>0.64508054794520542</v>
      </c>
      <c r="AB117" s="241">
        <f t="shared" si="94"/>
        <v>0.75259397260273986</v>
      </c>
      <c r="AC117" s="241">
        <f t="shared" si="94"/>
        <v>1.3170394520547946</v>
      </c>
      <c r="AD117" s="241">
        <f t="shared" si="94"/>
        <v>1.7202147945205482</v>
      </c>
      <c r="AE117" s="318">
        <f t="shared" si="94"/>
        <v>2.2309035616438355</v>
      </c>
      <c r="AF117" s="241">
        <f t="shared" si="94"/>
        <v>2.3249778082191783</v>
      </c>
      <c r="AG117" s="241">
        <f t="shared" si="94"/>
        <v>1.8277282191780826</v>
      </c>
      <c r="AH117" s="241">
        <f t="shared" si="94"/>
        <v>1.8680457534246575</v>
      </c>
      <c r="AI117" s="241">
        <f t="shared" si="94"/>
        <v>1.1960868493150687</v>
      </c>
      <c r="AJ117" s="241">
        <f t="shared" si="94"/>
        <v>0.94074246575342457</v>
      </c>
      <c r="AK117" s="241">
        <f t="shared" si="94"/>
        <v>0.71227643835616439</v>
      </c>
      <c r="AL117" s="241">
        <f t="shared" si="94"/>
        <v>0.57788465753424656</v>
      </c>
      <c r="AM117" s="241">
        <f t="shared" si="94"/>
        <v>0.64508054794520542</v>
      </c>
      <c r="AN117" s="241">
        <f t="shared" si="94"/>
        <v>0.75259397260273986</v>
      </c>
      <c r="AO117" s="241">
        <f t="shared" si="94"/>
        <v>1.3170394520547946</v>
      </c>
      <c r="AP117" s="241">
        <f t="shared" si="94"/>
        <v>1.7202147945205482</v>
      </c>
      <c r="AQ117" s="319">
        <f t="shared" si="94"/>
        <v>2.2309035616438355</v>
      </c>
    </row>
    <row r="118" spans="2:43" s="115" customFormat="1" ht="15.75" thickBot="1" x14ac:dyDescent="0.3">
      <c r="B118" s="248" t="s">
        <v>147</v>
      </c>
      <c r="C118" s="260">
        <f>ROUND(Kainos!H133,2)</f>
        <v>94.5</v>
      </c>
      <c r="D118" s="320">
        <f t="shared" ref="D118:AQ118" si="95">$C$118*D107</f>
        <v>43.690068493150683</v>
      </c>
      <c r="E118" s="320">
        <f t="shared" si="95"/>
        <v>20.615239726027397</v>
      </c>
      <c r="F118" s="320">
        <f t="shared" si="95"/>
        <v>14.589246575342466</v>
      </c>
      <c r="G118" s="321">
        <f t="shared" si="95"/>
        <v>39.003904109589051</v>
      </c>
      <c r="H118" s="320">
        <f t="shared" si="95"/>
        <v>20.82754109589041</v>
      </c>
      <c r="I118" s="320">
        <f t="shared" si="95"/>
        <v>14.788602739726029</v>
      </c>
      <c r="J118" s="320">
        <f t="shared" si="95"/>
        <v>16.734267123287669</v>
      </c>
      <c r="K118" s="320">
        <f t="shared" si="95"/>
        <v>10.369109589041095</v>
      </c>
      <c r="L118" s="320">
        <f t="shared" si="95"/>
        <v>8.4273287671232868</v>
      </c>
      <c r="M118" s="320">
        <f t="shared" si="95"/>
        <v>6.17486301369863</v>
      </c>
      <c r="N118" s="320">
        <f t="shared" si="95"/>
        <v>5.1767876712328764</v>
      </c>
      <c r="O118" s="320">
        <f t="shared" si="95"/>
        <v>5.7787397260273972</v>
      </c>
      <c r="P118" s="320">
        <f t="shared" si="95"/>
        <v>6.5243835616438357</v>
      </c>
      <c r="Q118" s="320">
        <f t="shared" si="95"/>
        <v>11.798260273972604</v>
      </c>
      <c r="R118" s="320">
        <f t="shared" si="95"/>
        <v>14.912876712328767</v>
      </c>
      <c r="S118" s="321">
        <f t="shared" si="95"/>
        <v>19.984808219178081</v>
      </c>
      <c r="T118" s="320">
        <f t="shared" si="95"/>
        <v>1.3437123287671233</v>
      </c>
      <c r="U118" s="320">
        <f t="shared" si="95"/>
        <v>1.0563287671232879</v>
      </c>
      <c r="V118" s="320">
        <f t="shared" si="95"/>
        <v>1.0796301369863013</v>
      </c>
      <c r="W118" s="320">
        <f t="shared" si="95"/>
        <v>0.69127397260273982</v>
      </c>
      <c r="X118" s="320">
        <f t="shared" si="95"/>
        <v>0.54369863013698627</v>
      </c>
      <c r="Y118" s="320">
        <f t="shared" si="95"/>
        <v>0.41165753424657536</v>
      </c>
      <c r="Z118" s="320">
        <f t="shared" si="95"/>
        <v>0.33398630136986301</v>
      </c>
      <c r="AA118" s="320">
        <f t="shared" si="95"/>
        <v>0.37282191780821916</v>
      </c>
      <c r="AB118" s="320">
        <f t="shared" si="95"/>
        <v>0.43495890410958915</v>
      </c>
      <c r="AC118" s="320">
        <f t="shared" si="95"/>
        <v>0.76117808219178085</v>
      </c>
      <c r="AD118" s="320">
        <f t="shared" si="95"/>
        <v>0.99419178082191795</v>
      </c>
      <c r="AE118" s="321">
        <f t="shared" si="95"/>
        <v>1.2893424657534247</v>
      </c>
      <c r="AF118" s="320">
        <f t="shared" si="95"/>
        <v>1.3437123287671233</v>
      </c>
      <c r="AG118" s="320">
        <f t="shared" si="95"/>
        <v>1.0563287671232879</v>
      </c>
      <c r="AH118" s="320">
        <f t="shared" si="95"/>
        <v>1.0796301369863013</v>
      </c>
      <c r="AI118" s="320">
        <f t="shared" si="95"/>
        <v>0.69127397260273982</v>
      </c>
      <c r="AJ118" s="320">
        <f t="shared" si="95"/>
        <v>0.54369863013698627</v>
      </c>
      <c r="AK118" s="320">
        <f t="shared" si="95"/>
        <v>0.41165753424657536</v>
      </c>
      <c r="AL118" s="320">
        <f t="shared" si="95"/>
        <v>0.33398630136986301</v>
      </c>
      <c r="AM118" s="320">
        <f t="shared" si="95"/>
        <v>0.37282191780821916</v>
      </c>
      <c r="AN118" s="320">
        <f t="shared" si="95"/>
        <v>0.43495890410958915</v>
      </c>
      <c r="AO118" s="320">
        <f t="shared" si="95"/>
        <v>0.76117808219178085</v>
      </c>
      <c r="AP118" s="320">
        <f t="shared" si="95"/>
        <v>0.99419178082191795</v>
      </c>
      <c r="AQ118" s="322">
        <f t="shared" si="95"/>
        <v>1.2893424657534247</v>
      </c>
    </row>
    <row r="119" spans="2:43" s="115" customFormat="1" ht="15.75" x14ac:dyDescent="0.25">
      <c r="B119" s="337" t="s">
        <v>193</v>
      </c>
      <c r="C119" s="338"/>
      <c r="D119" s="338"/>
      <c r="E119" s="338"/>
      <c r="F119" s="338"/>
      <c r="G119" s="338"/>
      <c r="H119" s="338"/>
      <c r="I119" s="338"/>
      <c r="J119" s="338"/>
      <c r="K119" s="338"/>
      <c r="L119" s="338"/>
      <c r="M119" s="338"/>
      <c r="N119" s="338"/>
      <c r="O119" s="338"/>
      <c r="P119" s="338"/>
      <c r="Q119" s="338"/>
      <c r="R119" s="338"/>
      <c r="S119" s="338"/>
      <c r="T119" s="338"/>
      <c r="U119" s="338"/>
      <c r="V119" s="338"/>
      <c r="W119" s="338"/>
      <c r="X119" s="338"/>
      <c r="Y119" s="338"/>
      <c r="Z119" s="338"/>
      <c r="AA119" s="338"/>
      <c r="AB119" s="338"/>
      <c r="AC119" s="338"/>
      <c r="AD119" s="338"/>
      <c r="AE119" s="338"/>
      <c r="AF119" s="338"/>
      <c r="AG119" s="338"/>
      <c r="AH119" s="338"/>
      <c r="AI119" s="338"/>
      <c r="AJ119" s="338"/>
      <c r="AK119" s="338"/>
      <c r="AL119" s="338"/>
      <c r="AM119" s="338"/>
      <c r="AN119" s="338"/>
      <c r="AO119" s="338"/>
      <c r="AP119" s="338"/>
      <c r="AQ119" s="339"/>
    </row>
    <row r="120" spans="2:43" s="115" customFormat="1" x14ac:dyDescent="0.25">
      <c r="B120" s="256"/>
      <c r="C120" s="340" t="s">
        <v>79</v>
      </c>
      <c r="D120" s="343" t="s">
        <v>75</v>
      </c>
      <c r="E120" s="344"/>
      <c r="F120" s="344"/>
      <c r="G120" s="345"/>
      <c r="H120" s="343" t="s">
        <v>76</v>
      </c>
      <c r="I120" s="344"/>
      <c r="J120" s="344"/>
      <c r="K120" s="344"/>
      <c r="L120" s="344"/>
      <c r="M120" s="344"/>
      <c r="N120" s="344"/>
      <c r="O120" s="344"/>
      <c r="P120" s="344"/>
      <c r="Q120" s="344"/>
      <c r="R120" s="344"/>
      <c r="S120" s="345"/>
      <c r="T120" s="343" t="s">
        <v>77</v>
      </c>
      <c r="U120" s="344"/>
      <c r="V120" s="344"/>
      <c r="W120" s="344"/>
      <c r="X120" s="344"/>
      <c r="Y120" s="344"/>
      <c r="Z120" s="344"/>
      <c r="AA120" s="344"/>
      <c r="AB120" s="344"/>
      <c r="AC120" s="344"/>
      <c r="AD120" s="344"/>
      <c r="AE120" s="345"/>
      <c r="AF120" s="346" t="s">
        <v>78</v>
      </c>
      <c r="AG120" s="344"/>
      <c r="AH120" s="344"/>
      <c r="AI120" s="344"/>
      <c r="AJ120" s="344"/>
      <c r="AK120" s="344"/>
      <c r="AL120" s="344"/>
      <c r="AM120" s="344"/>
      <c r="AN120" s="344"/>
      <c r="AO120" s="344"/>
      <c r="AP120" s="344"/>
      <c r="AQ120" s="347"/>
    </row>
    <row r="121" spans="2:43" s="115" customFormat="1" x14ac:dyDescent="0.25">
      <c r="B121" s="245" t="s">
        <v>72</v>
      </c>
      <c r="C121" s="341"/>
      <c r="D121" s="226" t="s">
        <v>46</v>
      </c>
      <c r="E121" s="309" t="s">
        <v>47</v>
      </c>
      <c r="F121" s="309" t="s">
        <v>48</v>
      </c>
      <c r="G121" s="308" t="s">
        <v>49</v>
      </c>
      <c r="H121" s="226" t="s">
        <v>13</v>
      </c>
      <c r="I121" s="309" t="s">
        <v>14</v>
      </c>
      <c r="J121" s="309" t="s">
        <v>15</v>
      </c>
      <c r="K121" s="309" t="s">
        <v>16</v>
      </c>
      <c r="L121" s="309" t="s">
        <v>17</v>
      </c>
      <c r="M121" s="309" t="s">
        <v>18</v>
      </c>
      <c r="N121" s="309" t="s">
        <v>19</v>
      </c>
      <c r="O121" s="309" t="s">
        <v>20</v>
      </c>
      <c r="P121" s="309" t="s">
        <v>21</v>
      </c>
      <c r="Q121" s="309" t="s">
        <v>22</v>
      </c>
      <c r="R121" s="309" t="s">
        <v>23</v>
      </c>
      <c r="S121" s="308" t="s">
        <v>24</v>
      </c>
      <c r="T121" s="226" t="s">
        <v>13</v>
      </c>
      <c r="U121" s="309" t="s">
        <v>14</v>
      </c>
      <c r="V121" s="309" t="s">
        <v>15</v>
      </c>
      <c r="W121" s="309" t="s">
        <v>16</v>
      </c>
      <c r="X121" s="309" t="s">
        <v>17</v>
      </c>
      <c r="Y121" s="309" t="s">
        <v>18</v>
      </c>
      <c r="Z121" s="309" t="s">
        <v>19</v>
      </c>
      <c r="AA121" s="309" t="s">
        <v>20</v>
      </c>
      <c r="AB121" s="309" t="s">
        <v>21</v>
      </c>
      <c r="AC121" s="309" t="s">
        <v>22</v>
      </c>
      <c r="AD121" s="309" t="s">
        <v>23</v>
      </c>
      <c r="AE121" s="308" t="s">
        <v>24</v>
      </c>
      <c r="AF121" s="227" t="s">
        <v>13</v>
      </c>
      <c r="AG121" s="309" t="s">
        <v>14</v>
      </c>
      <c r="AH121" s="309" t="s">
        <v>15</v>
      </c>
      <c r="AI121" s="309" t="s">
        <v>16</v>
      </c>
      <c r="AJ121" s="309" t="s">
        <v>17</v>
      </c>
      <c r="AK121" s="309" t="s">
        <v>18</v>
      </c>
      <c r="AL121" s="309" t="s">
        <v>19</v>
      </c>
      <c r="AM121" s="309" t="s">
        <v>20</v>
      </c>
      <c r="AN121" s="309" t="s">
        <v>21</v>
      </c>
      <c r="AO121" s="309" t="s">
        <v>22</v>
      </c>
      <c r="AP121" s="309" t="s">
        <v>23</v>
      </c>
      <c r="AQ121" s="246" t="s">
        <v>24</v>
      </c>
    </row>
    <row r="122" spans="2:43" s="115" customFormat="1" x14ac:dyDescent="0.25">
      <c r="B122" s="245" t="s">
        <v>73</v>
      </c>
      <c r="C122" s="341"/>
      <c r="D122" s="202">
        <f>1/$C$15*D15*$D$25</f>
        <v>0.27123287671232882</v>
      </c>
      <c r="E122" s="197">
        <f>1/$C$15*E15*$D$25</f>
        <v>0.27424657534246577</v>
      </c>
      <c r="F122" s="197">
        <f>1/$C$15*F15*$D$25</f>
        <v>0.27726027397260278</v>
      </c>
      <c r="G122" s="197">
        <f>1/$C$15*G15*$D$25</f>
        <v>0.27726027397260278</v>
      </c>
      <c r="H122" s="202">
        <f t="shared" ref="H122:S122" si="96">1/$C$15*H15*$E$25</f>
        <v>0.10616438356164383</v>
      </c>
      <c r="I122" s="200">
        <f t="shared" si="96"/>
        <v>9.5890410958904118E-2</v>
      </c>
      <c r="J122" s="200">
        <f t="shared" si="96"/>
        <v>0.10616438356164383</v>
      </c>
      <c r="K122" s="200">
        <f t="shared" si="96"/>
        <v>0.10273972602739725</v>
      </c>
      <c r="L122" s="200">
        <f t="shared" si="96"/>
        <v>0.10616438356164383</v>
      </c>
      <c r="M122" s="200">
        <f t="shared" si="96"/>
        <v>0.10273972602739725</v>
      </c>
      <c r="N122" s="200">
        <f t="shared" si="96"/>
        <v>0.10616438356164383</v>
      </c>
      <c r="O122" s="200">
        <f t="shared" si="96"/>
        <v>0.10616438356164383</v>
      </c>
      <c r="P122" s="200">
        <f t="shared" si="96"/>
        <v>0.10273972602739725</v>
      </c>
      <c r="Q122" s="200">
        <f t="shared" si="96"/>
        <v>0.10616438356164383</v>
      </c>
      <c r="R122" s="200">
        <f t="shared" si="96"/>
        <v>0.10273972602739725</v>
      </c>
      <c r="S122" s="198">
        <f t="shared" si="96"/>
        <v>0.10616438356164383</v>
      </c>
      <c r="T122" s="200">
        <f t="shared" ref="T122:AE122" si="97">1/$C$15*$F$25</f>
        <v>4.1095890410958909E-3</v>
      </c>
      <c r="U122" s="200">
        <f t="shared" si="97"/>
        <v>4.1095890410958909E-3</v>
      </c>
      <c r="V122" s="200">
        <f t="shared" si="97"/>
        <v>4.1095890410958909E-3</v>
      </c>
      <c r="W122" s="200">
        <f t="shared" si="97"/>
        <v>4.1095890410958909E-3</v>
      </c>
      <c r="X122" s="200">
        <f t="shared" si="97"/>
        <v>4.1095890410958909E-3</v>
      </c>
      <c r="Y122" s="200">
        <f t="shared" si="97"/>
        <v>4.1095890410958909E-3</v>
      </c>
      <c r="Z122" s="200">
        <f t="shared" si="97"/>
        <v>4.1095890410958909E-3</v>
      </c>
      <c r="AA122" s="200">
        <f t="shared" si="97"/>
        <v>4.1095890410958909E-3</v>
      </c>
      <c r="AB122" s="200">
        <f t="shared" si="97"/>
        <v>4.1095890410958909E-3</v>
      </c>
      <c r="AC122" s="200">
        <f t="shared" si="97"/>
        <v>4.1095890410958909E-3</v>
      </c>
      <c r="AD122" s="200">
        <f t="shared" si="97"/>
        <v>4.1095890410958909E-3</v>
      </c>
      <c r="AE122" s="198">
        <f t="shared" si="97"/>
        <v>4.1095890410958909E-3</v>
      </c>
      <c r="AF122" s="200">
        <f t="shared" ref="AF122:AQ122" si="98">1/$C$15*$G$25</f>
        <v>4.6575342465753422E-3</v>
      </c>
      <c r="AG122" s="200">
        <f t="shared" si="98"/>
        <v>4.6575342465753422E-3</v>
      </c>
      <c r="AH122" s="200">
        <f t="shared" si="98"/>
        <v>4.6575342465753422E-3</v>
      </c>
      <c r="AI122" s="200">
        <f t="shared" si="98"/>
        <v>4.6575342465753422E-3</v>
      </c>
      <c r="AJ122" s="200">
        <f t="shared" si="98"/>
        <v>4.6575342465753422E-3</v>
      </c>
      <c r="AK122" s="200">
        <f t="shared" si="98"/>
        <v>4.6575342465753422E-3</v>
      </c>
      <c r="AL122" s="200">
        <f t="shared" si="98"/>
        <v>4.6575342465753422E-3</v>
      </c>
      <c r="AM122" s="200">
        <f t="shared" si="98"/>
        <v>4.6575342465753422E-3</v>
      </c>
      <c r="AN122" s="200">
        <f t="shared" si="98"/>
        <v>4.6575342465753422E-3</v>
      </c>
      <c r="AO122" s="200">
        <f t="shared" si="98"/>
        <v>4.6575342465753422E-3</v>
      </c>
      <c r="AP122" s="200">
        <f t="shared" si="98"/>
        <v>4.6575342465753422E-3</v>
      </c>
      <c r="AQ122" s="257">
        <f t="shared" si="98"/>
        <v>4.6575342465753422E-3</v>
      </c>
    </row>
    <row r="123" spans="2:43" s="115" customFormat="1" x14ac:dyDescent="0.25">
      <c r="B123" s="245" t="s">
        <v>153</v>
      </c>
      <c r="C123" s="341"/>
      <c r="D123" s="202">
        <f>1/$C$15*D15*$H$25</f>
        <v>0.27123287671232882</v>
      </c>
      <c r="E123" s="197">
        <f>1/$C$15*E15*$H$25</f>
        <v>0.27424657534246577</v>
      </c>
      <c r="F123" s="197">
        <f>1/$C$15*F15*$H$25</f>
        <v>0.27726027397260278</v>
      </c>
      <c r="G123" s="197">
        <f>1/$C$15*G15*$H$25</f>
        <v>0.27726027397260278</v>
      </c>
      <c r="H123" s="202">
        <f t="shared" ref="H123:S123" si="99">1/$C$15*H15*$I$25</f>
        <v>0.10616438356164383</v>
      </c>
      <c r="I123" s="200">
        <f t="shared" si="99"/>
        <v>9.5890410958904118E-2</v>
      </c>
      <c r="J123" s="200">
        <f t="shared" si="99"/>
        <v>0.10616438356164383</v>
      </c>
      <c r="K123" s="200">
        <f t="shared" si="99"/>
        <v>0.10273972602739725</v>
      </c>
      <c r="L123" s="200">
        <f t="shared" si="99"/>
        <v>0.10616438356164383</v>
      </c>
      <c r="M123" s="200">
        <f t="shared" si="99"/>
        <v>0.10273972602739725</v>
      </c>
      <c r="N123" s="200">
        <f t="shared" si="99"/>
        <v>0.10616438356164383</v>
      </c>
      <c r="O123" s="200">
        <f t="shared" si="99"/>
        <v>0.10616438356164383</v>
      </c>
      <c r="P123" s="200">
        <f t="shared" si="99"/>
        <v>0.10273972602739725</v>
      </c>
      <c r="Q123" s="200">
        <f t="shared" si="99"/>
        <v>0.10616438356164383</v>
      </c>
      <c r="R123" s="200">
        <f t="shared" si="99"/>
        <v>0.10273972602739725</v>
      </c>
      <c r="S123" s="198">
        <f t="shared" si="99"/>
        <v>0.10616438356164383</v>
      </c>
      <c r="T123" s="200">
        <f t="shared" ref="T123:AE123" si="100">1/$C$15*$J$25</f>
        <v>4.1095890410958909E-3</v>
      </c>
      <c r="U123" s="200">
        <f t="shared" si="100"/>
        <v>4.1095890410958909E-3</v>
      </c>
      <c r="V123" s="200">
        <f t="shared" si="100"/>
        <v>4.1095890410958909E-3</v>
      </c>
      <c r="W123" s="200">
        <f t="shared" si="100"/>
        <v>4.1095890410958909E-3</v>
      </c>
      <c r="X123" s="200">
        <f t="shared" si="100"/>
        <v>4.1095890410958909E-3</v>
      </c>
      <c r="Y123" s="200">
        <f t="shared" si="100"/>
        <v>4.1095890410958909E-3</v>
      </c>
      <c r="Z123" s="200">
        <f t="shared" si="100"/>
        <v>4.1095890410958909E-3</v>
      </c>
      <c r="AA123" s="200">
        <f t="shared" si="100"/>
        <v>4.1095890410958909E-3</v>
      </c>
      <c r="AB123" s="200">
        <f t="shared" si="100"/>
        <v>4.1095890410958909E-3</v>
      </c>
      <c r="AC123" s="200">
        <f t="shared" si="100"/>
        <v>4.1095890410958909E-3</v>
      </c>
      <c r="AD123" s="200">
        <f t="shared" si="100"/>
        <v>4.1095890410958909E-3</v>
      </c>
      <c r="AE123" s="198">
        <f t="shared" si="100"/>
        <v>4.1095890410958909E-3</v>
      </c>
      <c r="AF123" s="200">
        <f t="shared" ref="AF123:AQ123" si="101">1/$C$15*$K$25</f>
        <v>4.6575342465753422E-3</v>
      </c>
      <c r="AG123" s="200">
        <f t="shared" si="101"/>
        <v>4.6575342465753422E-3</v>
      </c>
      <c r="AH123" s="200">
        <f t="shared" si="101"/>
        <v>4.6575342465753422E-3</v>
      </c>
      <c r="AI123" s="200">
        <f t="shared" si="101"/>
        <v>4.6575342465753422E-3</v>
      </c>
      <c r="AJ123" s="200">
        <f t="shared" si="101"/>
        <v>4.6575342465753422E-3</v>
      </c>
      <c r="AK123" s="200">
        <f t="shared" si="101"/>
        <v>4.6575342465753422E-3</v>
      </c>
      <c r="AL123" s="200">
        <f t="shared" si="101"/>
        <v>4.6575342465753422E-3</v>
      </c>
      <c r="AM123" s="200">
        <f t="shared" si="101"/>
        <v>4.6575342465753422E-3</v>
      </c>
      <c r="AN123" s="200">
        <f t="shared" si="101"/>
        <v>4.6575342465753422E-3</v>
      </c>
      <c r="AO123" s="200">
        <f t="shared" si="101"/>
        <v>4.6575342465753422E-3</v>
      </c>
      <c r="AP123" s="200">
        <f t="shared" si="101"/>
        <v>4.6575342465753422E-3</v>
      </c>
      <c r="AQ123" s="257">
        <f t="shared" si="101"/>
        <v>4.6575342465753422E-3</v>
      </c>
    </row>
    <row r="124" spans="2:43" s="115" customFormat="1" x14ac:dyDescent="0.25">
      <c r="B124" s="245" t="s">
        <v>74</v>
      </c>
      <c r="C124" s="341"/>
      <c r="D124" s="202">
        <f>1/$C$15*D15*$L$25*D46</f>
        <v>0.46232876712328769</v>
      </c>
      <c r="E124" s="197">
        <f>1/$C$15*E15*$L$25*E46</f>
        <v>0.21815068493150686</v>
      </c>
      <c r="F124" s="197">
        <f>1/$C$15*F15*$L$25*F46</f>
        <v>0.15438356164383563</v>
      </c>
      <c r="G124" s="197">
        <f>1/$C$15*G15*$L$25*G46</f>
        <v>0.41273972602739734</v>
      </c>
      <c r="H124" s="202">
        <f t="shared" ref="H124:S124" si="102">1/$C$15*H15*$M$25*H46</f>
        <v>0.22039726027397261</v>
      </c>
      <c r="I124" s="200">
        <f t="shared" si="102"/>
        <v>0.15649315068493153</v>
      </c>
      <c r="J124" s="200">
        <f t="shared" si="102"/>
        <v>0.17708219178082191</v>
      </c>
      <c r="K124" s="200">
        <f t="shared" si="102"/>
        <v>0.10972602739726027</v>
      </c>
      <c r="L124" s="200">
        <f t="shared" si="102"/>
        <v>8.9178082191780819E-2</v>
      </c>
      <c r="M124" s="200">
        <f t="shared" si="102"/>
        <v>6.5342465753424658E-2</v>
      </c>
      <c r="N124" s="200">
        <f t="shared" si="102"/>
        <v>5.4780821917808219E-2</v>
      </c>
      <c r="O124" s="200">
        <f t="shared" si="102"/>
        <v>6.1150684931506848E-2</v>
      </c>
      <c r="P124" s="200">
        <f t="shared" si="102"/>
        <v>6.9041095890410964E-2</v>
      </c>
      <c r="Q124" s="200">
        <f t="shared" si="102"/>
        <v>0.12484931506849316</v>
      </c>
      <c r="R124" s="200">
        <f t="shared" si="102"/>
        <v>0.15780821917808219</v>
      </c>
      <c r="S124" s="198">
        <f t="shared" si="102"/>
        <v>0.21147945205479451</v>
      </c>
      <c r="T124" s="200">
        <f t="shared" ref="T124:AE124" si="103">1/$C$15*$N$25*T46</f>
        <v>1.4219178082191782E-2</v>
      </c>
      <c r="U124" s="200">
        <f t="shared" si="103"/>
        <v>1.1178082191780825E-2</v>
      </c>
      <c r="V124" s="200">
        <f t="shared" si="103"/>
        <v>1.1424657534246575E-2</v>
      </c>
      <c r="W124" s="200">
        <f t="shared" si="103"/>
        <v>7.3150684931506862E-3</v>
      </c>
      <c r="X124" s="200">
        <f t="shared" si="103"/>
        <v>5.7534246575342467E-3</v>
      </c>
      <c r="Y124" s="200">
        <f t="shared" si="103"/>
        <v>4.3561643835616443E-3</v>
      </c>
      <c r="Z124" s="200">
        <f t="shared" si="103"/>
        <v>3.5342465753424659E-3</v>
      </c>
      <c r="AA124" s="200">
        <f t="shared" si="103"/>
        <v>3.9452054794520547E-3</v>
      </c>
      <c r="AB124" s="200">
        <f t="shared" si="103"/>
        <v>4.6027397260273986E-3</v>
      </c>
      <c r="AC124" s="200">
        <f t="shared" si="103"/>
        <v>8.0547945205479456E-3</v>
      </c>
      <c r="AD124" s="200">
        <f t="shared" si="103"/>
        <v>1.0520547945205481E-2</v>
      </c>
      <c r="AE124" s="198">
        <f t="shared" si="103"/>
        <v>1.3643835616438357E-2</v>
      </c>
      <c r="AF124" s="200">
        <f t="shared" ref="AF124:AQ124" si="104">1/$C$15*$N$25*T46</f>
        <v>1.4219178082191782E-2</v>
      </c>
      <c r="AG124" s="200">
        <f t="shared" si="104"/>
        <v>1.1178082191780825E-2</v>
      </c>
      <c r="AH124" s="200">
        <f t="shared" si="104"/>
        <v>1.1424657534246575E-2</v>
      </c>
      <c r="AI124" s="200">
        <f t="shared" si="104"/>
        <v>7.3150684931506862E-3</v>
      </c>
      <c r="AJ124" s="200">
        <f t="shared" si="104"/>
        <v>5.7534246575342467E-3</v>
      </c>
      <c r="AK124" s="200">
        <f t="shared" si="104"/>
        <v>4.3561643835616443E-3</v>
      </c>
      <c r="AL124" s="200">
        <f t="shared" si="104"/>
        <v>3.5342465753424659E-3</v>
      </c>
      <c r="AM124" s="200">
        <f t="shared" si="104"/>
        <v>3.9452054794520547E-3</v>
      </c>
      <c r="AN124" s="200">
        <f t="shared" si="104"/>
        <v>4.6027397260273986E-3</v>
      </c>
      <c r="AO124" s="200">
        <f t="shared" si="104"/>
        <v>8.0547945205479456E-3</v>
      </c>
      <c r="AP124" s="200">
        <f t="shared" si="104"/>
        <v>1.0520547945205481E-2</v>
      </c>
      <c r="AQ124" s="257">
        <f t="shared" si="104"/>
        <v>1.3643835616438357E-2</v>
      </c>
    </row>
    <row r="125" spans="2:43" s="115" customFormat="1" x14ac:dyDescent="0.25">
      <c r="B125" s="245" t="s">
        <v>154</v>
      </c>
      <c r="C125" s="341"/>
      <c r="D125" s="202">
        <f>1/$C$15*D15*$L$25*D36</f>
        <v>0.46232876712328769</v>
      </c>
      <c r="E125" s="197">
        <f>1/$C$15*E15*$L$25*E36</f>
        <v>0.21815068493150686</v>
      </c>
      <c r="F125" s="197">
        <f>1/$C$15*F15*$L$25*F36</f>
        <v>0.15438356164383563</v>
      </c>
      <c r="G125" s="197">
        <f>1/$C$15*G15*$L$25*G36</f>
        <v>0.41273972602739734</v>
      </c>
      <c r="H125" s="202">
        <f t="shared" ref="H125:S125" si="105">1/$C$15*H15*$M$25*H36</f>
        <v>0.22039726027397261</v>
      </c>
      <c r="I125" s="200">
        <f t="shared" si="105"/>
        <v>0.15649315068493153</v>
      </c>
      <c r="J125" s="200">
        <f t="shared" si="105"/>
        <v>0.17708219178082191</v>
      </c>
      <c r="K125" s="200">
        <f t="shared" si="105"/>
        <v>0.10972602739726027</v>
      </c>
      <c r="L125" s="200">
        <f t="shared" si="105"/>
        <v>8.9178082191780819E-2</v>
      </c>
      <c r="M125" s="200">
        <f t="shared" si="105"/>
        <v>6.5342465753424658E-2</v>
      </c>
      <c r="N125" s="200">
        <f t="shared" si="105"/>
        <v>5.4780821917808219E-2</v>
      </c>
      <c r="O125" s="200">
        <f t="shared" si="105"/>
        <v>6.1150684931506848E-2</v>
      </c>
      <c r="P125" s="200">
        <f t="shared" si="105"/>
        <v>6.9041095890410964E-2</v>
      </c>
      <c r="Q125" s="200">
        <f t="shared" si="105"/>
        <v>0.12484931506849316</v>
      </c>
      <c r="R125" s="200">
        <f t="shared" si="105"/>
        <v>0.15780821917808219</v>
      </c>
      <c r="S125" s="198">
        <f t="shared" si="105"/>
        <v>0.21147945205479451</v>
      </c>
      <c r="T125" s="200">
        <f t="shared" ref="T125:AE125" si="106">1/$C$15*$N$25*T36</f>
        <v>1.4219178082191782E-2</v>
      </c>
      <c r="U125" s="200">
        <f t="shared" si="106"/>
        <v>1.1178082191780825E-2</v>
      </c>
      <c r="V125" s="200">
        <f t="shared" si="106"/>
        <v>1.1424657534246575E-2</v>
      </c>
      <c r="W125" s="200">
        <f t="shared" si="106"/>
        <v>7.3150684931506862E-3</v>
      </c>
      <c r="X125" s="200">
        <f t="shared" si="106"/>
        <v>5.7534246575342467E-3</v>
      </c>
      <c r="Y125" s="200">
        <f t="shared" si="106"/>
        <v>4.3561643835616443E-3</v>
      </c>
      <c r="Z125" s="200">
        <f t="shared" si="106"/>
        <v>3.5342465753424659E-3</v>
      </c>
      <c r="AA125" s="200">
        <f t="shared" si="106"/>
        <v>3.9452054794520547E-3</v>
      </c>
      <c r="AB125" s="200">
        <f t="shared" si="106"/>
        <v>4.6027397260273986E-3</v>
      </c>
      <c r="AC125" s="200">
        <f t="shared" si="106"/>
        <v>8.0547945205479456E-3</v>
      </c>
      <c r="AD125" s="200">
        <f t="shared" si="106"/>
        <v>1.0520547945205481E-2</v>
      </c>
      <c r="AE125" s="198">
        <f t="shared" si="106"/>
        <v>1.3643835616438357E-2</v>
      </c>
      <c r="AF125" s="200">
        <f t="shared" ref="AF125:AQ125" si="107">1/$C$15*$N$25*T36</f>
        <v>1.4219178082191782E-2</v>
      </c>
      <c r="AG125" s="200">
        <f t="shared" si="107"/>
        <v>1.1178082191780825E-2</v>
      </c>
      <c r="AH125" s="200">
        <f t="shared" si="107"/>
        <v>1.1424657534246575E-2</v>
      </c>
      <c r="AI125" s="200">
        <f t="shared" si="107"/>
        <v>7.3150684931506862E-3</v>
      </c>
      <c r="AJ125" s="200">
        <f t="shared" si="107"/>
        <v>5.7534246575342467E-3</v>
      </c>
      <c r="AK125" s="200">
        <f t="shared" si="107"/>
        <v>4.3561643835616443E-3</v>
      </c>
      <c r="AL125" s="200">
        <f t="shared" si="107"/>
        <v>3.5342465753424659E-3</v>
      </c>
      <c r="AM125" s="200">
        <f t="shared" si="107"/>
        <v>3.9452054794520547E-3</v>
      </c>
      <c r="AN125" s="200">
        <f t="shared" si="107"/>
        <v>4.6027397260273986E-3</v>
      </c>
      <c r="AO125" s="200">
        <f t="shared" si="107"/>
        <v>8.0547945205479456E-3</v>
      </c>
      <c r="AP125" s="200">
        <f t="shared" si="107"/>
        <v>1.0520547945205481E-2</v>
      </c>
      <c r="AQ125" s="257">
        <f t="shared" si="107"/>
        <v>1.3643835616438357E-2</v>
      </c>
    </row>
    <row r="126" spans="2:43" s="115" customFormat="1" x14ac:dyDescent="0.25">
      <c r="B126" s="247" t="s">
        <v>80</v>
      </c>
      <c r="C126" s="211">
        <f>ROUND(Kainos!I120,2)</f>
        <v>142.77000000000001</v>
      </c>
      <c r="D126" s="241">
        <f t="shared" ref="D126:AQ126" si="108">$C$126*D122</f>
        <v>38.723917808219191</v>
      </c>
      <c r="E126" s="241">
        <f t="shared" si="108"/>
        <v>39.154183561643841</v>
      </c>
      <c r="F126" s="241">
        <f t="shared" si="108"/>
        <v>39.584449315068504</v>
      </c>
      <c r="G126" s="318">
        <f t="shared" si="108"/>
        <v>39.584449315068504</v>
      </c>
      <c r="H126" s="241">
        <f t="shared" si="108"/>
        <v>15.15708904109589</v>
      </c>
      <c r="I126" s="241">
        <f t="shared" si="108"/>
        <v>13.690273972602743</v>
      </c>
      <c r="J126" s="241">
        <f t="shared" si="108"/>
        <v>15.15708904109589</v>
      </c>
      <c r="K126" s="241">
        <f t="shared" si="108"/>
        <v>14.668150684931508</v>
      </c>
      <c r="L126" s="241">
        <f t="shared" si="108"/>
        <v>15.15708904109589</v>
      </c>
      <c r="M126" s="241">
        <f t="shared" si="108"/>
        <v>14.668150684931508</v>
      </c>
      <c r="N126" s="241">
        <f t="shared" si="108"/>
        <v>15.15708904109589</v>
      </c>
      <c r="O126" s="241">
        <f t="shared" si="108"/>
        <v>15.15708904109589</v>
      </c>
      <c r="P126" s="241">
        <f t="shared" si="108"/>
        <v>14.668150684931508</v>
      </c>
      <c r="Q126" s="241">
        <f t="shared" si="108"/>
        <v>15.15708904109589</v>
      </c>
      <c r="R126" s="241">
        <f t="shared" si="108"/>
        <v>14.668150684931508</v>
      </c>
      <c r="S126" s="318">
        <f t="shared" si="108"/>
        <v>15.15708904109589</v>
      </c>
      <c r="T126" s="241">
        <f t="shared" si="108"/>
        <v>0.58672602739726043</v>
      </c>
      <c r="U126" s="241">
        <f t="shared" si="108"/>
        <v>0.58672602739726043</v>
      </c>
      <c r="V126" s="241">
        <f t="shared" si="108"/>
        <v>0.58672602739726043</v>
      </c>
      <c r="W126" s="241">
        <f t="shared" si="108"/>
        <v>0.58672602739726043</v>
      </c>
      <c r="X126" s="241">
        <f t="shared" si="108"/>
        <v>0.58672602739726043</v>
      </c>
      <c r="Y126" s="241">
        <f t="shared" si="108"/>
        <v>0.58672602739726043</v>
      </c>
      <c r="Z126" s="241">
        <f t="shared" si="108"/>
        <v>0.58672602739726043</v>
      </c>
      <c r="AA126" s="241">
        <f t="shared" si="108"/>
        <v>0.58672602739726043</v>
      </c>
      <c r="AB126" s="241">
        <f t="shared" si="108"/>
        <v>0.58672602739726043</v>
      </c>
      <c r="AC126" s="241">
        <f t="shared" si="108"/>
        <v>0.58672602739726043</v>
      </c>
      <c r="AD126" s="241">
        <f t="shared" si="108"/>
        <v>0.58672602739726043</v>
      </c>
      <c r="AE126" s="318">
        <f t="shared" si="108"/>
        <v>0.58672602739726043</v>
      </c>
      <c r="AF126" s="241">
        <f t="shared" si="108"/>
        <v>0.66495616438356164</v>
      </c>
      <c r="AG126" s="241">
        <f t="shared" si="108"/>
        <v>0.66495616438356164</v>
      </c>
      <c r="AH126" s="241">
        <f t="shared" si="108"/>
        <v>0.66495616438356164</v>
      </c>
      <c r="AI126" s="241">
        <f t="shared" si="108"/>
        <v>0.66495616438356164</v>
      </c>
      <c r="AJ126" s="241">
        <f t="shared" si="108"/>
        <v>0.66495616438356164</v>
      </c>
      <c r="AK126" s="241">
        <f t="shared" si="108"/>
        <v>0.66495616438356164</v>
      </c>
      <c r="AL126" s="241">
        <f t="shared" si="108"/>
        <v>0.66495616438356164</v>
      </c>
      <c r="AM126" s="241">
        <f t="shared" si="108"/>
        <v>0.66495616438356164</v>
      </c>
      <c r="AN126" s="241">
        <f t="shared" si="108"/>
        <v>0.66495616438356164</v>
      </c>
      <c r="AO126" s="241">
        <f t="shared" si="108"/>
        <v>0.66495616438356164</v>
      </c>
      <c r="AP126" s="241">
        <f t="shared" si="108"/>
        <v>0.66495616438356164</v>
      </c>
      <c r="AQ126" s="319">
        <f t="shared" si="108"/>
        <v>0.66495616438356164</v>
      </c>
    </row>
    <row r="127" spans="2:43" s="115" customFormat="1" x14ac:dyDescent="0.25">
      <c r="B127" s="323" t="s">
        <v>181</v>
      </c>
      <c r="C127" s="211">
        <f>ROUND(Kainos!I121,2)</f>
        <v>142.77000000000001</v>
      </c>
      <c r="D127" s="241">
        <f>$C127*D123</f>
        <v>38.723917808219191</v>
      </c>
      <c r="E127" s="241">
        <f t="shared" ref="E127:AQ127" si="109">$C127*E123</f>
        <v>39.154183561643841</v>
      </c>
      <c r="F127" s="241">
        <f t="shared" si="109"/>
        <v>39.584449315068504</v>
      </c>
      <c r="G127" s="241">
        <f t="shared" si="109"/>
        <v>39.584449315068504</v>
      </c>
      <c r="H127" s="241">
        <f t="shared" si="109"/>
        <v>15.15708904109589</v>
      </c>
      <c r="I127" s="241">
        <f t="shared" si="109"/>
        <v>13.690273972602743</v>
      </c>
      <c r="J127" s="241">
        <f t="shared" si="109"/>
        <v>15.15708904109589</v>
      </c>
      <c r="K127" s="241">
        <f t="shared" si="109"/>
        <v>14.668150684931508</v>
      </c>
      <c r="L127" s="241">
        <f t="shared" si="109"/>
        <v>15.15708904109589</v>
      </c>
      <c r="M127" s="241">
        <f t="shared" si="109"/>
        <v>14.668150684931508</v>
      </c>
      <c r="N127" s="241">
        <f t="shared" si="109"/>
        <v>15.15708904109589</v>
      </c>
      <c r="O127" s="241">
        <f t="shared" si="109"/>
        <v>15.15708904109589</v>
      </c>
      <c r="P127" s="241">
        <f t="shared" si="109"/>
        <v>14.668150684931508</v>
      </c>
      <c r="Q127" s="241">
        <f t="shared" si="109"/>
        <v>15.15708904109589</v>
      </c>
      <c r="R127" s="241">
        <f t="shared" si="109"/>
        <v>14.668150684931508</v>
      </c>
      <c r="S127" s="318">
        <f t="shared" si="109"/>
        <v>15.15708904109589</v>
      </c>
      <c r="T127" s="241">
        <f t="shared" si="109"/>
        <v>0.58672602739726043</v>
      </c>
      <c r="U127" s="241">
        <f t="shared" si="109"/>
        <v>0.58672602739726043</v>
      </c>
      <c r="V127" s="241">
        <f t="shared" si="109"/>
        <v>0.58672602739726043</v>
      </c>
      <c r="W127" s="241">
        <f t="shared" si="109"/>
        <v>0.58672602739726043</v>
      </c>
      <c r="X127" s="241">
        <f t="shared" si="109"/>
        <v>0.58672602739726043</v>
      </c>
      <c r="Y127" s="241">
        <f t="shared" si="109"/>
        <v>0.58672602739726043</v>
      </c>
      <c r="Z127" s="241">
        <f t="shared" si="109"/>
        <v>0.58672602739726043</v>
      </c>
      <c r="AA127" s="241">
        <f t="shared" si="109"/>
        <v>0.58672602739726043</v>
      </c>
      <c r="AB127" s="241">
        <f t="shared" si="109"/>
        <v>0.58672602739726043</v>
      </c>
      <c r="AC127" s="241">
        <f t="shared" si="109"/>
        <v>0.58672602739726043</v>
      </c>
      <c r="AD127" s="241">
        <f t="shared" si="109"/>
        <v>0.58672602739726043</v>
      </c>
      <c r="AE127" s="318">
        <f t="shared" si="109"/>
        <v>0.58672602739726043</v>
      </c>
      <c r="AF127" s="241">
        <f t="shared" si="109"/>
        <v>0.66495616438356164</v>
      </c>
      <c r="AG127" s="241">
        <f t="shared" si="109"/>
        <v>0.66495616438356164</v>
      </c>
      <c r="AH127" s="241">
        <f t="shared" si="109"/>
        <v>0.66495616438356164</v>
      </c>
      <c r="AI127" s="241">
        <f t="shared" si="109"/>
        <v>0.66495616438356164</v>
      </c>
      <c r="AJ127" s="241">
        <f t="shared" si="109"/>
        <v>0.66495616438356164</v>
      </c>
      <c r="AK127" s="241">
        <f t="shared" si="109"/>
        <v>0.66495616438356164</v>
      </c>
      <c r="AL127" s="241">
        <f t="shared" si="109"/>
        <v>0.66495616438356164</v>
      </c>
      <c r="AM127" s="241">
        <f t="shared" si="109"/>
        <v>0.66495616438356164</v>
      </c>
      <c r="AN127" s="241">
        <f t="shared" si="109"/>
        <v>0.66495616438356164</v>
      </c>
      <c r="AO127" s="241">
        <f t="shared" si="109"/>
        <v>0.66495616438356164</v>
      </c>
      <c r="AP127" s="241">
        <f t="shared" si="109"/>
        <v>0.66495616438356164</v>
      </c>
      <c r="AQ127" s="319">
        <f t="shared" si="109"/>
        <v>0.66495616438356164</v>
      </c>
    </row>
    <row r="128" spans="2:43" s="115" customFormat="1" x14ac:dyDescent="0.25">
      <c r="B128" s="247" t="s">
        <v>81</v>
      </c>
      <c r="C128" s="211">
        <f>ROUND(Kainos!I122,2)</f>
        <v>35.96</v>
      </c>
      <c r="D128" s="241">
        <f t="shared" ref="D128:AQ128" si="110">$C$128*D122</f>
        <v>9.7535342465753452</v>
      </c>
      <c r="E128" s="241">
        <f t="shared" si="110"/>
        <v>9.8619068493150692</v>
      </c>
      <c r="F128" s="241">
        <f t="shared" si="110"/>
        <v>9.9702794520547968</v>
      </c>
      <c r="G128" s="318">
        <f t="shared" si="110"/>
        <v>9.9702794520547968</v>
      </c>
      <c r="H128" s="241">
        <f t="shared" si="110"/>
        <v>3.8176712328767124</v>
      </c>
      <c r="I128" s="241">
        <f t="shared" si="110"/>
        <v>3.448219178082192</v>
      </c>
      <c r="J128" s="241">
        <f t="shared" si="110"/>
        <v>3.8176712328767124</v>
      </c>
      <c r="K128" s="241">
        <f t="shared" si="110"/>
        <v>3.6945205479452055</v>
      </c>
      <c r="L128" s="241">
        <f t="shared" si="110"/>
        <v>3.8176712328767124</v>
      </c>
      <c r="M128" s="241">
        <f t="shared" si="110"/>
        <v>3.6945205479452055</v>
      </c>
      <c r="N128" s="241">
        <f t="shared" si="110"/>
        <v>3.8176712328767124</v>
      </c>
      <c r="O128" s="241">
        <f t="shared" si="110"/>
        <v>3.8176712328767124</v>
      </c>
      <c r="P128" s="241">
        <f t="shared" si="110"/>
        <v>3.6945205479452055</v>
      </c>
      <c r="Q128" s="241">
        <f t="shared" si="110"/>
        <v>3.8176712328767124</v>
      </c>
      <c r="R128" s="241">
        <f t="shared" si="110"/>
        <v>3.6945205479452055</v>
      </c>
      <c r="S128" s="318">
        <f t="shared" si="110"/>
        <v>3.8176712328767124</v>
      </c>
      <c r="T128" s="241">
        <f t="shared" si="110"/>
        <v>0.14778082191780825</v>
      </c>
      <c r="U128" s="241">
        <f t="shared" si="110"/>
        <v>0.14778082191780825</v>
      </c>
      <c r="V128" s="241">
        <f t="shared" si="110"/>
        <v>0.14778082191780825</v>
      </c>
      <c r="W128" s="241">
        <f t="shared" si="110"/>
        <v>0.14778082191780825</v>
      </c>
      <c r="X128" s="241">
        <f t="shared" si="110"/>
        <v>0.14778082191780825</v>
      </c>
      <c r="Y128" s="241">
        <f t="shared" si="110"/>
        <v>0.14778082191780825</v>
      </c>
      <c r="Z128" s="241">
        <f t="shared" si="110"/>
        <v>0.14778082191780825</v>
      </c>
      <c r="AA128" s="241">
        <f t="shared" si="110"/>
        <v>0.14778082191780825</v>
      </c>
      <c r="AB128" s="241">
        <f t="shared" si="110"/>
        <v>0.14778082191780825</v>
      </c>
      <c r="AC128" s="241">
        <f t="shared" si="110"/>
        <v>0.14778082191780825</v>
      </c>
      <c r="AD128" s="241">
        <f t="shared" si="110"/>
        <v>0.14778082191780825</v>
      </c>
      <c r="AE128" s="318">
        <f t="shared" si="110"/>
        <v>0.14778082191780825</v>
      </c>
      <c r="AF128" s="241">
        <f t="shared" si="110"/>
        <v>0.16748493150684932</v>
      </c>
      <c r="AG128" s="241">
        <f t="shared" si="110"/>
        <v>0.16748493150684932</v>
      </c>
      <c r="AH128" s="241">
        <f t="shared" si="110"/>
        <v>0.16748493150684932</v>
      </c>
      <c r="AI128" s="241">
        <f t="shared" si="110"/>
        <v>0.16748493150684932</v>
      </c>
      <c r="AJ128" s="241">
        <f t="shared" si="110"/>
        <v>0.16748493150684932</v>
      </c>
      <c r="AK128" s="241">
        <f t="shared" si="110"/>
        <v>0.16748493150684932</v>
      </c>
      <c r="AL128" s="241">
        <f t="shared" si="110"/>
        <v>0.16748493150684932</v>
      </c>
      <c r="AM128" s="241">
        <f t="shared" si="110"/>
        <v>0.16748493150684932</v>
      </c>
      <c r="AN128" s="241">
        <f t="shared" si="110"/>
        <v>0.16748493150684932</v>
      </c>
      <c r="AO128" s="241">
        <f t="shared" si="110"/>
        <v>0.16748493150684932</v>
      </c>
      <c r="AP128" s="241">
        <f t="shared" si="110"/>
        <v>0.16748493150684932</v>
      </c>
      <c r="AQ128" s="319">
        <f t="shared" si="110"/>
        <v>0.16748493150684932</v>
      </c>
    </row>
    <row r="129" spans="2:43" s="115" customFormat="1" x14ac:dyDescent="0.25">
      <c r="B129" s="247" t="s">
        <v>82</v>
      </c>
      <c r="C129" s="211">
        <f>ROUND(Kainos!I123,2)</f>
        <v>142.77000000000001</v>
      </c>
      <c r="D129" s="241">
        <f>$C$129*D122</f>
        <v>38.723917808219191</v>
      </c>
      <c r="E129" s="241">
        <f t="shared" ref="E129:AQ129" si="111">$C$129*E122</f>
        <v>39.154183561643841</v>
      </c>
      <c r="F129" s="241">
        <f t="shared" si="111"/>
        <v>39.584449315068504</v>
      </c>
      <c r="G129" s="318">
        <f t="shared" si="111"/>
        <v>39.584449315068504</v>
      </c>
      <c r="H129" s="241">
        <f t="shared" si="111"/>
        <v>15.15708904109589</v>
      </c>
      <c r="I129" s="241">
        <f t="shared" si="111"/>
        <v>13.690273972602743</v>
      </c>
      <c r="J129" s="241">
        <f t="shared" si="111"/>
        <v>15.15708904109589</v>
      </c>
      <c r="K129" s="241">
        <f t="shared" si="111"/>
        <v>14.668150684931508</v>
      </c>
      <c r="L129" s="241">
        <f t="shared" si="111"/>
        <v>15.15708904109589</v>
      </c>
      <c r="M129" s="241">
        <f t="shared" si="111"/>
        <v>14.668150684931508</v>
      </c>
      <c r="N129" s="241">
        <f t="shared" si="111"/>
        <v>15.15708904109589</v>
      </c>
      <c r="O129" s="241">
        <f t="shared" si="111"/>
        <v>15.15708904109589</v>
      </c>
      <c r="P129" s="241">
        <f t="shared" si="111"/>
        <v>14.668150684931508</v>
      </c>
      <c r="Q129" s="241">
        <f t="shared" si="111"/>
        <v>15.15708904109589</v>
      </c>
      <c r="R129" s="241">
        <f t="shared" si="111"/>
        <v>14.668150684931508</v>
      </c>
      <c r="S129" s="318">
        <f t="shared" si="111"/>
        <v>15.15708904109589</v>
      </c>
      <c r="T129" s="241">
        <f t="shared" si="111"/>
        <v>0.58672602739726043</v>
      </c>
      <c r="U129" s="241">
        <f t="shared" si="111"/>
        <v>0.58672602739726043</v>
      </c>
      <c r="V129" s="241">
        <f t="shared" si="111"/>
        <v>0.58672602739726043</v>
      </c>
      <c r="W129" s="241">
        <f t="shared" si="111"/>
        <v>0.58672602739726043</v>
      </c>
      <c r="X129" s="241">
        <f t="shared" si="111"/>
        <v>0.58672602739726043</v>
      </c>
      <c r="Y129" s="241">
        <f t="shared" si="111"/>
        <v>0.58672602739726043</v>
      </c>
      <c r="Z129" s="241">
        <f t="shared" si="111"/>
        <v>0.58672602739726043</v>
      </c>
      <c r="AA129" s="241">
        <f t="shared" si="111"/>
        <v>0.58672602739726043</v>
      </c>
      <c r="AB129" s="241">
        <f t="shared" si="111"/>
        <v>0.58672602739726043</v>
      </c>
      <c r="AC129" s="241">
        <f t="shared" si="111"/>
        <v>0.58672602739726043</v>
      </c>
      <c r="AD129" s="241">
        <f t="shared" si="111"/>
        <v>0.58672602739726043</v>
      </c>
      <c r="AE129" s="318">
        <f t="shared" si="111"/>
        <v>0.58672602739726043</v>
      </c>
      <c r="AF129" s="241">
        <f t="shared" si="111"/>
        <v>0.66495616438356164</v>
      </c>
      <c r="AG129" s="241">
        <f t="shared" si="111"/>
        <v>0.66495616438356164</v>
      </c>
      <c r="AH129" s="241">
        <f t="shared" si="111"/>
        <v>0.66495616438356164</v>
      </c>
      <c r="AI129" s="241">
        <f t="shared" si="111"/>
        <v>0.66495616438356164</v>
      </c>
      <c r="AJ129" s="241">
        <f t="shared" si="111"/>
        <v>0.66495616438356164</v>
      </c>
      <c r="AK129" s="241">
        <f t="shared" si="111"/>
        <v>0.66495616438356164</v>
      </c>
      <c r="AL129" s="241">
        <f t="shared" si="111"/>
        <v>0.66495616438356164</v>
      </c>
      <c r="AM129" s="241">
        <f t="shared" si="111"/>
        <v>0.66495616438356164</v>
      </c>
      <c r="AN129" s="241">
        <f t="shared" si="111"/>
        <v>0.66495616438356164</v>
      </c>
      <c r="AO129" s="241">
        <f t="shared" si="111"/>
        <v>0.66495616438356164</v>
      </c>
      <c r="AP129" s="241">
        <f t="shared" si="111"/>
        <v>0.66495616438356164</v>
      </c>
      <c r="AQ129" s="319">
        <f t="shared" si="111"/>
        <v>0.66495616438356164</v>
      </c>
    </row>
    <row r="130" spans="2:43" s="115" customFormat="1" x14ac:dyDescent="0.25">
      <c r="B130" s="247" t="s">
        <v>83</v>
      </c>
      <c r="C130" s="211">
        <f>ROUND(Kainos!I124,2)</f>
        <v>142.77000000000001</v>
      </c>
      <c r="D130" s="241">
        <f t="shared" ref="D130:AQ130" si="112">$C$130*D122</f>
        <v>38.723917808219191</v>
      </c>
      <c r="E130" s="241">
        <f t="shared" si="112"/>
        <v>39.154183561643841</v>
      </c>
      <c r="F130" s="241">
        <f t="shared" si="112"/>
        <v>39.584449315068504</v>
      </c>
      <c r="G130" s="318">
        <f t="shared" si="112"/>
        <v>39.584449315068504</v>
      </c>
      <c r="H130" s="241">
        <f t="shared" si="112"/>
        <v>15.15708904109589</v>
      </c>
      <c r="I130" s="241">
        <f t="shared" si="112"/>
        <v>13.690273972602743</v>
      </c>
      <c r="J130" s="241">
        <f t="shared" si="112"/>
        <v>15.15708904109589</v>
      </c>
      <c r="K130" s="241">
        <f t="shared" si="112"/>
        <v>14.668150684931508</v>
      </c>
      <c r="L130" s="241">
        <f t="shared" si="112"/>
        <v>15.15708904109589</v>
      </c>
      <c r="M130" s="241">
        <f t="shared" si="112"/>
        <v>14.668150684931508</v>
      </c>
      <c r="N130" s="241">
        <f t="shared" si="112"/>
        <v>15.15708904109589</v>
      </c>
      <c r="O130" s="241">
        <f t="shared" si="112"/>
        <v>15.15708904109589</v>
      </c>
      <c r="P130" s="241">
        <f t="shared" si="112"/>
        <v>14.668150684931508</v>
      </c>
      <c r="Q130" s="241">
        <f t="shared" si="112"/>
        <v>15.15708904109589</v>
      </c>
      <c r="R130" s="241">
        <f t="shared" si="112"/>
        <v>14.668150684931508</v>
      </c>
      <c r="S130" s="318">
        <f t="shared" si="112"/>
        <v>15.15708904109589</v>
      </c>
      <c r="T130" s="241">
        <f t="shared" si="112"/>
        <v>0.58672602739726043</v>
      </c>
      <c r="U130" s="241">
        <f t="shared" si="112"/>
        <v>0.58672602739726043</v>
      </c>
      <c r="V130" s="241">
        <f t="shared" si="112"/>
        <v>0.58672602739726043</v>
      </c>
      <c r="W130" s="241">
        <f t="shared" si="112"/>
        <v>0.58672602739726043</v>
      </c>
      <c r="X130" s="241">
        <f t="shared" si="112"/>
        <v>0.58672602739726043</v>
      </c>
      <c r="Y130" s="241">
        <f t="shared" si="112"/>
        <v>0.58672602739726043</v>
      </c>
      <c r="Z130" s="241">
        <f t="shared" si="112"/>
        <v>0.58672602739726043</v>
      </c>
      <c r="AA130" s="241">
        <f t="shared" si="112"/>
        <v>0.58672602739726043</v>
      </c>
      <c r="AB130" s="241">
        <f t="shared" si="112"/>
        <v>0.58672602739726043</v>
      </c>
      <c r="AC130" s="241">
        <f t="shared" si="112"/>
        <v>0.58672602739726043</v>
      </c>
      <c r="AD130" s="241">
        <f t="shared" si="112"/>
        <v>0.58672602739726043</v>
      </c>
      <c r="AE130" s="318">
        <f t="shared" si="112"/>
        <v>0.58672602739726043</v>
      </c>
      <c r="AF130" s="241">
        <f t="shared" si="112"/>
        <v>0.66495616438356164</v>
      </c>
      <c r="AG130" s="241">
        <f t="shared" si="112"/>
        <v>0.66495616438356164</v>
      </c>
      <c r="AH130" s="241">
        <f t="shared" si="112"/>
        <v>0.66495616438356164</v>
      </c>
      <c r="AI130" s="241">
        <f t="shared" si="112"/>
        <v>0.66495616438356164</v>
      </c>
      <c r="AJ130" s="241">
        <f t="shared" si="112"/>
        <v>0.66495616438356164</v>
      </c>
      <c r="AK130" s="241">
        <f t="shared" si="112"/>
        <v>0.66495616438356164</v>
      </c>
      <c r="AL130" s="241">
        <f t="shared" si="112"/>
        <v>0.66495616438356164</v>
      </c>
      <c r="AM130" s="241">
        <f t="shared" si="112"/>
        <v>0.66495616438356164</v>
      </c>
      <c r="AN130" s="241">
        <f t="shared" si="112"/>
        <v>0.66495616438356164</v>
      </c>
      <c r="AO130" s="241">
        <f t="shared" si="112"/>
        <v>0.66495616438356164</v>
      </c>
      <c r="AP130" s="241">
        <f t="shared" si="112"/>
        <v>0.66495616438356164</v>
      </c>
      <c r="AQ130" s="319">
        <f t="shared" si="112"/>
        <v>0.66495616438356164</v>
      </c>
    </row>
    <row r="131" spans="2:43" s="115" customFormat="1" x14ac:dyDescent="0.25">
      <c r="B131" s="247" t="s">
        <v>149</v>
      </c>
      <c r="C131" s="211">
        <f>ROUND(Kainos!I125,2)</f>
        <v>142.77000000000001</v>
      </c>
      <c r="D131" s="241">
        <f t="shared" ref="D131:AQ131" si="113">$C$131*D122</f>
        <v>38.723917808219191</v>
      </c>
      <c r="E131" s="241">
        <f t="shared" si="113"/>
        <v>39.154183561643841</v>
      </c>
      <c r="F131" s="241">
        <f t="shared" si="113"/>
        <v>39.584449315068504</v>
      </c>
      <c r="G131" s="318">
        <f t="shared" si="113"/>
        <v>39.584449315068504</v>
      </c>
      <c r="H131" s="241">
        <f t="shared" si="113"/>
        <v>15.15708904109589</v>
      </c>
      <c r="I131" s="241">
        <f t="shared" si="113"/>
        <v>13.690273972602743</v>
      </c>
      <c r="J131" s="241">
        <f t="shared" si="113"/>
        <v>15.15708904109589</v>
      </c>
      <c r="K131" s="241">
        <f t="shared" si="113"/>
        <v>14.668150684931508</v>
      </c>
      <c r="L131" s="241">
        <f t="shared" si="113"/>
        <v>15.15708904109589</v>
      </c>
      <c r="M131" s="241">
        <f t="shared" si="113"/>
        <v>14.668150684931508</v>
      </c>
      <c r="N131" s="241">
        <f t="shared" si="113"/>
        <v>15.15708904109589</v>
      </c>
      <c r="O131" s="241">
        <f t="shared" si="113"/>
        <v>15.15708904109589</v>
      </c>
      <c r="P131" s="241">
        <f t="shared" si="113"/>
        <v>14.668150684931508</v>
      </c>
      <c r="Q131" s="241">
        <f t="shared" si="113"/>
        <v>15.15708904109589</v>
      </c>
      <c r="R131" s="241">
        <f t="shared" si="113"/>
        <v>14.668150684931508</v>
      </c>
      <c r="S131" s="318">
        <f t="shared" si="113"/>
        <v>15.15708904109589</v>
      </c>
      <c r="T131" s="241">
        <f t="shared" si="113"/>
        <v>0.58672602739726043</v>
      </c>
      <c r="U131" s="241">
        <f t="shared" si="113"/>
        <v>0.58672602739726043</v>
      </c>
      <c r="V131" s="241">
        <f t="shared" si="113"/>
        <v>0.58672602739726043</v>
      </c>
      <c r="W131" s="241">
        <f t="shared" si="113"/>
        <v>0.58672602739726043</v>
      </c>
      <c r="X131" s="241">
        <f t="shared" si="113"/>
        <v>0.58672602739726043</v>
      </c>
      <c r="Y131" s="241">
        <f t="shared" si="113"/>
        <v>0.58672602739726043</v>
      </c>
      <c r="Z131" s="241">
        <f t="shared" si="113"/>
        <v>0.58672602739726043</v>
      </c>
      <c r="AA131" s="241">
        <f t="shared" si="113"/>
        <v>0.58672602739726043</v>
      </c>
      <c r="AB131" s="241">
        <f t="shared" si="113"/>
        <v>0.58672602739726043</v>
      </c>
      <c r="AC131" s="241">
        <f t="shared" si="113"/>
        <v>0.58672602739726043</v>
      </c>
      <c r="AD131" s="241">
        <f t="shared" si="113"/>
        <v>0.58672602739726043</v>
      </c>
      <c r="AE131" s="318">
        <f t="shared" si="113"/>
        <v>0.58672602739726043</v>
      </c>
      <c r="AF131" s="241">
        <f t="shared" si="113"/>
        <v>0.66495616438356164</v>
      </c>
      <c r="AG131" s="241">
        <f t="shared" si="113"/>
        <v>0.66495616438356164</v>
      </c>
      <c r="AH131" s="241">
        <f t="shared" si="113"/>
        <v>0.66495616438356164</v>
      </c>
      <c r="AI131" s="241">
        <f t="shared" si="113"/>
        <v>0.66495616438356164</v>
      </c>
      <c r="AJ131" s="241">
        <f t="shared" si="113"/>
        <v>0.66495616438356164</v>
      </c>
      <c r="AK131" s="241">
        <f t="shared" si="113"/>
        <v>0.66495616438356164</v>
      </c>
      <c r="AL131" s="241">
        <f t="shared" si="113"/>
        <v>0.66495616438356164</v>
      </c>
      <c r="AM131" s="241">
        <f t="shared" si="113"/>
        <v>0.66495616438356164</v>
      </c>
      <c r="AN131" s="241">
        <f t="shared" si="113"/>
        <v>0.66495616438356164</v>
      </c>
      <c r="AO131" s="241">
        <f t="shared" si="113"/>
        <v>0.66495616438356164</v>
      </c>
      <c r="AP131" s="241">
        <f t="shared" si="113"/>
        <v>0.66495616438356164</v>
      </c>
      <c r="AQ131" s="319">
        <f t="shared" si="113"/>
        <v>0.66495616438356164</v>
      </c>
    </row>
    <row r="132" spans="2:43" s="115" customFormat="1" x14ac:dyDescent="0.25">
      <c r="B132" s="247" t="s">
        <v>84</v>
      </c>
      <c r="C132" s="211">
        <f>ROUND(Kainos!I126,2)</f>
        <v>98.8</v>
      </c>
      <c r="D132" s="241">
        <f t="shared" ref="D132:AQ132" si="114">$C$132*D123</f>
        <v>26.797808219178087</v>
      </c>
      <c r="E132" s="241">
        <f t="shared" si="114"/>
        <v>27.095561643835616</v>
      </c>
      <c r="F132" s="241">
        <f t="shared" si="114"/>
        <v>27.393315068493152</v>
      </c>
      <c r="G132" s="318">
        <f t="shared" si="114"/>
        <v>27.393315068493152</v>
      </c>
      <c r="H132" s="241">
        <f t="shared" si="114"/>
        <v>10.489041095890411</v>
      </c>
      <c r="I132" s="241">
        <f t="shared" si="114"/>
        <v>9.4739726027397264</v>
      </c>
      <c r="J132" s="241">
        <f t="shared" si="114"/>
        <v>10.489041095890411</v>
      </c>
      <c r="K132" s="241">
        <f t="shared" si="114"/>
        <v>10.150684931506849</v>
      </c>
      <c r="L132" s="241">
        <f t="shared" si="114"/>
        <v>10.489041095890411</v>
      </c>
      <c r="M132" s="241">
        <f t="shared" si="114"/>
        <v>10.150684931506849</v>
      </c>
      <c r="N132" s="241">
        <f t="shared" si="114"/>
        <v>10.489041095890411</v>
      </c>
      <c r="O132" s="241">
        <f t="shared" si="114"/>
        <v>10.489041095890411</v>
      </c>
      <c r="P132" s="241">
        <f t="shared" si="114"/>
        <v>10.150684931506849</v>
      </c>
      <c r="Q132" s="241">
        <f t="shared" si="114"/>
        <v>10.489041095890411</v>
      </c>
      <c r="R132" s="241">
        <f t="shared" si="114"/>
        <v>10.150684931506849</v>
      </c>
      <c r="S132" s="318">
        <f t="shared" si="114"/>
        <v>10.489041095890411</v>
      </c>
      <c r="T132" s="241">
        <f t="shared" si="114"/>
        <v>0.40602739726027398</v>
      </c>
      <c r="U132" s="241">
        <f t="shared" si="114"/>
        <v>0.40602739726027398</v>
      </c>
      <c r="V132" s="241">
        <f t="shared" si="114"/>
        <v>0.40602739726027398</v>
      </c>
      <c r="W132" s="241">
        <f t="shared" si="114"/>
        <v>0.40602739726027398</v>
      </c>
      <c r="X132" s="241">
        <f t="shared" si="114"/>
        <v>0.40602739726027398</v>
      </c>
      <c r="Y132" s="241">
        <f t="shared" si="114"/>
        <v>0.40602739726027398</v>
      </c>
      <c r="Z132" s="241">
        <f t="shared" si="114"/>
        <v>0.40602739726027398</v>
      </c>
      <c r="AA132" s="241">
        <f t="shared" si="114"/>
        <v>0.40602739726027398</v>
      </c>
      <c r="AB132" s="241">
        <f t="shared" si="114"/>
        <v>0.40602739726027398</v>
      </c>
      <c r="AC132" s="241">
        <f t="shared" si="114"/>
        <v>0.40602739726027398</v>
      </c>
      <c r="AD132" s="241">
        <f t="shared" si="114"/>
        <v>0.40602739726027398</v>
      </c>
      <c r="AE132" s="318">
        <f t="shared" si="114"/>
        <v>0.40602739726027398</v>
      </c>
      <c r="AF132" s="241">
        <f t="shared" si="114"/>
        <v>0.4601643835616438</v>
      </c>
      <c r="AG132" s="241">
        <f t="shared" si="114"/>
        <v>0.4601643835616438</v>
      </c>
      <c r="AH132" s="241">
        <f t="shared" si="114"/>
        <v>0.4601643835616438</v>
      </c>
      <c r="AI132" s="241">
        <f t="shared" si="114"/>
        <v>0.4601643835616438</v>
      </c>
      <c r="AJ132" s="241">
        <f t="shared" si="114"/>
        <v>0.4601643835616438</v>
      </c>
      <c r="AK132" s="241">
        <f t="shared" si="114"/>
        <v>0.4601643835616438</v>
      </c>
      <c r="AL132" s="241">
        <f t="shared" si="114"/>
        <v>0.4601643835616438</v>
      </c>
      <c r="AM132" s="241">
        <f t="shared" si="114"/>
        <v>0.4601643835616438</v>
      </c>
      <c r="AN132" s="241">
        <f t="shared" si="114"/>
        <v>0.4601643835616438</v>
      </c>
      <c r="AO132" s="241">
        <f t="shared" si="114"/>
        <v>0.4601643835616438</v>
      </c>
      <c r="AP132" s="241">
        <f t="shared" si="114"/>
        <v>0.4601643835616438</v>
      </c>
      <c r="AQ132" s="319">
        <f t="shared" si="114"/>
        <v>0.4601643835616438</v>
      </c>
    </row>
    <row r="133" spans="2:43" s="115" customFormat="1" x14ac:dyDescent="0.25">
      <c r="B133" s="247" t="s">
        <v>85</v>
      </c>
      <c r="C133" s="211">
        <f>ROUND(Kainos!I127,2)</f>
        <v>70.209999999999994</v>
      </c>
      <c r="D133" s="241">
        <f t="shared" ref="D133:AQ133" si="115">$C$133*D124</f>
        <v>32.460102739726025</v>
      </c>
      <c r="E133" s="241">
        <f t="shared" si="115"/>
        <v>15.316359589041095</v>
      </c>
      <c r="F133" s="241">
        <f t="shared" si="115"/>
        <v>10.839269863013698</v>
      </c>
      <c r="G133" s="318">
        <f t="shared" si="115"/>
        <v>28.978456164383566</v>
      </c>
      <c r="H133" s="241">
        <f t="shared" si="115"/>
        <v>15.474091643835616</v>
      </c>
      <c r="I133" s="241">
        <f t="shared" si="115"/>
        <v>10.987384109589042</v>
      </c>
      <c r="J133" s="241">
        <f t="shared" si="115"/>
        <v>12.432940684931506</v>
      </c>
      <c r="K133" s="241">
        <f t="shared" si="115"/>
        <v>7.7038643835616432</v>
      </c>
      <c r="L133" s="241">
        <f t="shared" si="115"/>
        <v>6.2611931506849308</v>
      </c>
      <c r="M133" s="241">
        <f t="shared" si="115"/>
        <v>4.5876945205479451</v>
      </c>
      <c r="N133" s="241">
        <f t="shared" si="115"/>
        <v>3.8461615068493149</v>
      </c>
      <c r="O133" s="241">
        <f t="shared" si="115"/>
        <v>4.2933895890410954</v>
      </c>
      <c r="P133" s="241">
        <f t="shared" si="115"/>
        <v>4.8473753424657531</v>
      </c>
      <c r="Q133" s="241">
        <f t="shared" si="115"/>
        <v>8.7656704109589043</v>
      </c>
      <c r="R133" s="241">
        <f t="shared" si="115"/>
        <v>11.079715068493149</v>
      </c>
      <c r="S133" s="318">
        <f t="shared" si="115"/>
        <v>14.847972328767122</v>
      </c>
      <c r="T133" s="241">
        <f t="shared" si="115"/>
        <v>0.99832849315068495</v>
      </c>
      <c r="U133" s="241">
        <f t="shared" si="115"/>
        <v>0.78481315068493163</v>
      </c>
      <c r="V133" s="241">
        <f t="shared" si="115"/>
        <v>0.80212520547945199</v>
      </c>
      <c r="W133" s="241">
        <f t="shared" si="115"/>
        <v>0.51359095890410966</v>
      </c>
      <c r="X133" s="241">
        <f t="shared" si="115"/>
        <v>0.40394794520547944</v>
      </c>
      <c r="Y133" s="241">
        <f t="shared" si="115"/>
        <v>0.30584630136986302</v>
      </c>
      <c r="Z133" s="241">
        <f t="shared" si="115"/>
        <v>0.24813945205479451</v>
      </c>
      <c r="AA133" s="241">
        <f t="shared" si="115"/>
        <v>0.27699287671232875</v>
      </c>
      <c r="AB133" s="241">
        <f t="shared" si="115"/>
        <v>0.3231583561643836</v>
      </c>
      <c r="AC133" s="241">
        <f t="shared" si="115"/>
        <v>0.56552712328767119</v>
      </c>
      <c r="AD133" s="241">
        <f t="shared" si="115"/>
        <v>0.73864767123287678</v>
      </c>
      <c r="AE133" s="318">
        <f t="shared" si="115"/>
        <v>0.957933698630137</v>
      </c>
      <c r="AF133" s="241">
        <f t="shared" si="115"/>
        <v>0.99832849315068495</v>
      </c>
      <c r="AG133" s="241">
        <f t="shared" si="115"/>
        <v>0.78481315068493163</v>
      </c>
      <c r="AH133" s="241">
        <f t="shared" si="115"/>
        <v>0.80212520547945199</v>
      </c>
      <c r="AI133" s="241">
        <f t="shared" si="115"/>
        <v>0.51359095890410966</v>
      </c>
      <c r="AJ133" s="241">
        <f t="shared" si="115"/>
        <v>0.40394794520547944</v>
      </c>
      <c r="AK133" s="241">
        <f t="shared" si="115"/>
        <v>0.30584630136986302</v>
      </c>
      <c r="AL133" s="241">
        <f t="shared" si="115"/>
        <v>0.24813945205479451</v>
      </c>
      <c r="AM133" s="241">
        <f t="shared" si="115"/>
        <v>0.27699287671232875</v>
      </c>
      <c r="AN133" s="241">
        <f t="shared" si="115"/>
        <v>0.3231583561643836</v>
      </c>
      <c r="AO133" s="241">
        <f t="shared" si="115"/>
        <v>0.56552712328767119</v>
      </c>
      <c r="AP133" s="241">
        <f t="shared" si="115"/>
        <v>0.73864767123287678</v>
      </c>
      <c r="AQ133" s="319">
        <f t="shared" si="115"/>
        <v>0.957933698630137</v>
      </c>
    </row>
    <row r="134" spans="2:43" s="115" customFormat="1" x14ac:dyDescent="0.25">
      <c r="B134" s="247" t="s">
        <v>137</v>
      </c>
      <c r="C134" s="211">
        <f>ROUND(Kainos!I128,2)</f>
        <v>98.8</v>
      </c>
      <c r="D134" s="241">
        <f t="shared" ref="D134:AQ134" si="116">$C$134*D123</f>
        <v>26.797808219178087</v>
      </c>
      <c r="E134" s="241">
        <f t="shared" si="116"/>
        <v>27.095561643835616</v>
      </c>
      <c r="F134" s="241">
        <f t="shared" si="116"/>
        <v>27.393315068493152</v>
      </c>
      <c r="G134" s="318">
        <f t="shared" si="116"/>
        <v>27.393315068493152</v>
      </c>
      <c r="H134" s="241">
        <f t="shared" si="116"/>
        <v>10.489041095890411</v>
      </c>
      <c r="I134" s="241">
        <f t="shared" si="116"/>
        <v>9.4739726027397264</v>
      </c>
      <c r="J134" s="241">
        <f t="shared" si="116"/>
        <v>10.489041095890411</v>
      </c>
      <c r="K134" s="241">
        <f t="shared" si="116"/>
        <v>10.150684931506849</v>
      </c>
      <c r="L134" s="241">
        <f t="shared" si="116"/>
        <v>10.489041095890411</v>
      </c>
      <c r="M134" s="241">
        <f t="shared" si="116"/>
        <v>10.150684931506849</v>
      </c>
      <c r="N134" s="241">
        <f t="shared" si="116"/>
        <v>10.489041095890411</v>
      </c>
      <c r="O134" s="241">
        <f t="shared" si="116"/>
        <v>10.489041095890411</v>
      </c>
      <c r="P134" s="241">
        <f t="shared" si="116"/>
        <v>10.150684931506849</v>
      </c>
      <c r="Q134" s="241">
        <f t="shared" si="116"/>
        <v>10.489041095890411</v>
      </c>
      <c r="R134" s="241">
        <f t="shared" si="116"/>
        <v>10.150684931506849</v>
      </c>
      <c r="S134" s="318">
        <f t="shared" si="116"/>
        <v>10.489041095890411</v>
      </c>
      <c r="T134" s="241">
        <f t="shared" si="116"/>
        <v>0.40602739726027398</v>
      </c>
      <c r="U134" s="241">
        <f t="shared" si="116"/>
        <v>0.40602739726027398</v>
      </c>
      <c r="V134" s="241">
        <f t="shared" si="116"/>
        <v>0.40602739726027398</v>
      </c>
      <c r="W134" s="241">
        <f t="shared" si="116"/>
        <v>0.40602739726027398</v>
      </c>
      <c r="X134" s="241">
        <f t="shared" si="116"/>
        <v>0.40602739726027398</v>
      </c>
      <c r="Y134" s="241">
        <f t="shared" si="116"/>
        <v>0.40602739726027398</v>
      </c>
      <c r="Z134" s="241">
        <f t="shared" si="116"/>
        <v>0.40602739726027398</v>
      </c>
      <c r="AA134" s="241">
        <f t="shared" si="116"/>
        <v>0.40602739726027398</v>
      </c>
      <c r="AB134" s="241">
        <f t="shared" si="116"/>
        <v>0.40602739726027398</v>
      </c>
      <c r="AC134" s="241">
        <f t="shared" si="116"/>
        <v>0.40602739726027398</v>
      </c>
      <c r="AD134" s="241">
        <f t="shared" si="116"/>
        <v>0.40602739726027398</v>
      </c>
      <c r="AE134" s="318">
        <f t="shared" si="116"/>
        <v>0.40602739726027398</v>
      </c>
      <c r="AF134" s="241">
        <f t="shared" si="116"/>
        <v>0.4601643835616438</v>
      </c>
      <c r="AG134" s="241">
        <f t="shared" si="116"/>
        <v>0.4601643835616438</v>
      </c>
      <c r="AH134" s="241">
        <f t="shared" si="116"/>
        <v>0.4601643835616438</v>
      </c>
      <c r="AI134" s="241">
        <f t="shared" si="116"/>
        <v>0.4601643835616438</v>
      </c>
      <c r="AJ134" s="241">
        <f t="shared" si="116"/>
        <v>0.4601643835616438</v>
      </c>
      <c r="AK134" s="241">
        <f t="shared" si="116"/>
        <v>0.4601643835616438</v>
      </c>
      <c r="AL134" s="241">
        <f t="shared" si="116"/>
        <v>0.4601643835616438</v>
      </c>
      <c r="AM134" s="241">
        <f t="shared" si="116"/>
        <v>0.4601643835616438</v>
      </c>
      <c r="AN134" s="241">
        <f t="shared" si="116"/>
        <v>0.4601643835616438</v>
      </c>
      <c r="AO134" s="241">
        <f t="shared" si="116"/>
        <v>0.4601643835616438</v>
      </c>
      <c r="AP134" s="241">
        <f t="shared" si="116"/>
        <v>0.4601643835616438</v>
      </c>
      <c r="AQ134" s="319">
        <f t="shared" si="116"/>
        <v>0.4601643835616438</v>
      </c>
    </row>
    <row r="135" spans="2:43" s="115" customFormat="1" x14ac:dyDescent="0.25">
      <c r="B135" s="247" t="s">
        <v>86</v>
      </c>
      <c r="C135" s="211">
        <f>ROUND(Kainos!I132,2)</f>
        <v>180.3</v>
      </c>
      <c r="D135" s="241">
        <f t="shared" ref="D135:AQ135" si="117">$C$135*D125</f>
        <v>83.357876712328775</v>
      </c>
      <c r="E135" s="241">
        <f t="shared" si="117"/>
        <v>39.332568493150688</v>
      </c>
      <c r="F135" s="241">
        <f t="shared" si="117"/>
        <v>27.835356164383565</v>
      </c>
      <c r="G135" s="318">
        <f t="shared" si="117"/>
        <v>74.416972602739747</v>
      </c>
      <c r="H135" s="241">
        <f t="shared" si="117"/>
        <v>39.737626027397262</v>
      </c>
      <c r="I135" s="241">
        <f t="shared" si="117"/>
        <v>28.215715068493157</v>
      </c>
      <c r="J135" s="241">
        <f t="shared" si="117"/>
        <v>31.927919178082192</v>
      </c>
      <c r="K135" s="241">
        <f t="shared" si="117"/>
        <v>19.783602739726028</v>
      </c>
      <c r="L135" s="241">
        <f t="shared" si="117"/>
        <v>16.078808219178082</v>
      </c>
      <c r="M135" s="241">
        <f t="shared" si="117"/>
        <v>11.781246575342466</v>
      </c>
      <c r="N135" s="241">
        <f t="shared" si="117"/>
        <v>9.8769821917808223</v>
      </c>
      <c r="O135" s="241">
        <f t="shared" si="117"/>
        <v>11.025468493150685</v>
      </c>
      <c r="P135" s="241">
        <f t="shared" si="117"/>
        <v>12.448109589041097</v>
      </c>
      <c r="Q135" s="241">
        <f t="shared" si="117"/>
        <v>22.510331506849319</v>
      </c>
      <c r="R135" s="241">
        <f t="shared" si="117"/>
        <v>28.452821917808219</v>
      </c>
      <c r="S135" s="318">
        <f t="shared" si="117"/>
        <v>38.129745205479452</v>
      </c>
      <c r="T135" s="241">
        <f t="shared" si="117"/>
        <v>2.5637178082191783</v>
      </c>
      <c r="U135" s="241">
        <f t="shared" si="117"/>
        <v>2.0154082191780827</v>
      </c>
      <c r="V135" s="241">
        <f t="shared" si="117"/>
        <v>2.0598657534246576</v>
      </c>
      <c r="W135" s="241">
        <f t="shared" si="117"/>
        <v>1.3189068493150689</v>
      </c>
      <c r="X135" s="241">
        <f t="shared" si="117"/>
        <v>1.0373424657534247</v>
      </c>
      <c r="Y135" s="241">
        <f t="shared" si="117"/>
        <v>0.78541643835616448</v>
      </c>
      <c r="Z135" s="241">
        <f t="shared" si="117"/>
        <v>0.63722465753424662</v>
      </c>
      <c r="AA135" s="241">
        <f t="shared" si="117"/>
        <v>0.71132054794520549</v>
      </c>
      <c r="AB135" s="241">
        <f t="shared" si="117"/>
        <v>0.82987397260273998</v>
      </c>
      <c r="AC135" s="241">
        <f t="shared" si="117"/>
        <v>1.4522794520547946</v>
      </c>
      <c r="AD135" s="241">
        <f t="shared" si="117"/>
        <v>1.8968547945205485</v>
      </c>
      <c r="AE135" s="318">
        <f t="shared" si="117"/>
        <v>2.4599835616438357</v>
      </c>
      <c r="AF135" s="241">
        <f t="shared" si="117"/>
        <v>2.5637178082191783</v>
      </c>
      <c r="AG135" s="241">
        <f t="shared" si="117"/>
        <v>2.0154082191780827</v>
      </c>
      <c r="AH135" s="241">
        <f t="shared" si="117"/>
        <v>2.0598657534246576</v>
      </c>
      <c r="AI135" s="241">
        <f t="shared" si="117"/>
        <v>1.3189068493150689</v>
      </c>
      <c r="AJ135" s="241">
        <f t="shared" si="117"/>
        <v>1.0373424657534247</v>
      </c>
      <c r="AK135" s="241">
        <f t="shared" si="117"/>
        <v>0.78541643835616448</v>
      </c>
      <c r="AL135" s="241">
        <f t="shared" si="117"/>
        <v>0.63722465753424662</v>
      </c>
      <c r="AM135" s="241">
        <f t="shared" si="117"/>
        <v>0.71132054794520549</v>
      </c>
      <c r="AN135" s="241">
        <f t="shared" si="117"/>
        <v>0.82987397260273998</v>
      </c>
      <c r="AO135" s="241">
        <f t="shared" si="117"/>
        <v>1.4522794520547946</v>
      </c>
      <c r="AP135" s="241">
        <f t="shared" si="117"/>
        <v>1.8968547945205485</v>
      </c>
      <c r="AQ135" s="319">
        <f t="shared" si="117"/>
        <v>2.4599835616438357</v>
      </c>
    </row>
    <row r="136" spans="2:43" s="115" customFormat="1" ht="15.75" thickBot="1" x14ac:dyDescent="0.3">
      <c r="B136" s="248" t="s">
        <v>147</v>
      </c>
      <c r="C136" s="260">
        <f>ROUND(Kainos!I133,2)</f>
        <v>104.58</v>
      </c>
      <c r="D136" s="320">
        <f t="shared" ref="D136:AQ136" si="118">$C$136*D125</f>
        <v>48.350342465753428</v>
      </c>
      <c r="E136" s="320">
        <f t="shared" si="118"/>
        <v>22.814198630136985</v>
      </c>
      <c r="F136" s="320">
        <f t="shared" si="118"/>
        <v>16.145432876712331</v>
      </c>
      <c r="G136" s="321">
        <f t="shared" si="118"/>
        <v>43.164320547945209</v>
      </c>
      <c r="H136" s="320">
        <f t="shared" si="118"/>
        <v>23.049145479452054</v>
      </c>
      <c r="I136" s="320">
        <f t="shared" si="118"/>
        <v>16.366053698630139</v>
      </c>
      <c r="J136" s="320">
        <f t="shared" si="118"/>
        <v>18.519255616438354</v>
      </c>
      <c r="K136" s="320">
        <f t="shared" si="118"/>
        <v>11.475147945205478</v>
      </c>
      <c r="L136" s="320">
        <f t="shared" si="118"/>
        <v>9.3262438356164381</v>
      </c>
      <c r="M136" s="320">
        <f t="shared" si="118"/>
        <v>6.8335150684931509</v>
      </c>
      <c r="N136" s="320">
        <f t="shared" si="118"/>
        <v>5.728978356164383</v>
      </c>
      <c r="O136" s="320">
        <f t="shared" si="118"/>
        <v>6.3951386301369864</v>
      </c>
      <c r="P136" s="320">
        <f t="shared" si="118"/>
        <v>7.2203178082191783</v>
      </c>
      <c r="Q136" s="320">
        <f t="shared" si="118"/>
        <v>13.056741369863014</v>
      </c>
      <c r="R136" s="320">
        <f t="shared" si="118"/>
        <v>16.503583561643836</v>
      </c>
      <c r="S136" s="321">
        <f t="shared" si="118"/>
        <v>22.116521095890409</v>
      </c>
      <c r="T136" s="320">
        <f t="shared" si="118"/>
        <v>1.4870416438356164</v>
      </c>
      <c r="U136" s="320">
        <f t="shared" si="118"/>
        <v>1.1690038356164385</v>
      </c>
      <c r="V136" s="320">
        <f t="shared" si="118"/>
        <v>1.1947906849315069</v>
      </c>
      <c r="W136" s="320">
        <f t="shared" si="118"/>
        <v>0.76500986301369878</v>
      </c>
      <c r="X136" s="320">
        <f t="shared" si="118"/>
        <v>0.60169315068493157</v>
      </c>
      <c r="Y136" s="320">
        <f t="shared" si="118"/>
        <v>0.45556767123287673</v>
      </c>
      <c r="Z136" s="320">
        <f t="shared" si="118"/>
        <v>0.3696115068493151</v>
      </c>
      <c r="AA136" s="320">
        <f t="shared" si="118"/>
        <v>0.41258958904109588</v>
      </c>
      <c r="AB136" s="320">
        <f t="shared" si="118"/>
        <v>0.48135452054794531</v>
      </c>
      <c r="AC136" s="320">
        <f t="shared" si="118"/>
        <v>0.84237041095890408</v>
      </c>
      <c r="AD136" s="320">
        <f t="shared" si="118"/>
        <v>1.1002389041095892</v>
      </c>
      <c r="AE136" s="321">
        <f t="shared" si="118"/>
        <v>1.4268723287671234</v>
      </c>
      <c r="AF136" s="320">
        <f t="shared" si="118"/>
        <v>1.4870416438356164</v>
      </c>
      <c r="AG136" s="320">
        <f t="shared" si="118"/>
        <v>1.1690038356164385</v>
      </c>
      <c r="AH136" s="320">
        <f t="shared" si="118"/>
        <v>1.1947906849315069</v>
      </c>
      <c r="AI136" s="320">
        <f t="shared" si="118"/>
        <v>0.76500986301369878</v>
      </c>
      <c r="AJ136" s="320">
        <f t="shared" si="118"/>
        <v>0.60169315068493157</v>
      </c>
      <c r="AK136" s="320">
        <f t="shared" si="118"/>
        <v>0.45556767123287673</v>
      </c>
      <c r="AL136" s="320">
        <f t="shared" si="118"/>
        <v>0.3696115068493151</v>
      </c>
      <c r="AM136" s="320">
        <f t="shared" si="118"/>
        <v>0.41258958904109588</v>
      </c>
      <c r="AN136" s="320">
        <f t="shared" si="118"/>
        <v>0.48135452054794531</v>
      </c>
      <c r="AO136" s="320">
        <f t="shared" si="118"/>
        <v>0.84237041095890408</v>
      </c>
      <c r="AP136" s="320">
        <f t="shared" si="118"/>
        <v>1.1002389041095892</v>
      </c>
      <c r="AQ136" s="322">
        <f t="shared" si="118"/>
        <v>1.4268723287671234</v>
      </c>
    </row>
    <row r="137" spans="2:43" s="115" customFormat="1" ht="15.75" x14ac:dyDescent="0.25">
      <c r="B137" s="337" t="s">
        <v>194</v>
      </c>
      <c r="C137" s="338"/>
      <c r="D137" s="338"/>
      <c r="E137" s="338"/>
      <c r="F137" s="338"/>
      <c r="G137" s="338"/>
      <c r="H137" s="338"/>
      <c r="I137" s="338"/>
      <c r="J137" s="338"/>
      <c r="K137" s="338"/>
      <c r="L137" s="338"/>
      <c r="M137" s="338"/>
      <c r="N137" s="338"/>
      <c r="O137" s="338"/>
      <c r="P137" s="338"/>
      <c r="Q137" s="338"/>
      <c r="R137" s="338"/>
      <c r="S137" s="338"/>
      <c r="T137" s="338"/>
      <c r="U137" s="338"/>
      <c r="V137" s="338"/>
      <c r="W137" s="338"/>
      <c r="X137" s="338"/>
      <c r="Y137" s="338"/>
      <c r="Z137" s="338"/>
      <c r="AA137" s="338"/>
      <c r="AB137" s="338"/>
      <c r="AC137" s="338"/>
      <c r="AD137" s="338"/>
      <c r="AE137" s="338"/>
      <c r="AF137" s="338"/>
      <c r="AG137" s="338"/>
      <c r="AH137" s="338"/>
      <c r="AI137" s="338"/>
      <c r="AJ137" s="338"/>
      <c r="AK137" s="338"/>
      <c r="AL137" s="338"/>
      <c r="AM137" s="338"/>
      <c r="AN137" s="338"/>
      <c r="AO137" s="338"/>
      <c r="AP137" s="338"/>
      <c r="AQ137" s="339"/>
    </row>
    <row r="138" spans="2:43" s="115" customFormat="1" x14ac:dyDescent="0.25">
      <c r="B138" s="256"/>
      <c r="C138" s="340" t="s">
        <v>79</v>
      </c>
      <c r="D138" s="343" t="s">
        <v>75</v>
      </c>
      <c r="E138" s="344"/>
      <c r="F138" s="344"/>
      <c r="G138" s="345"/>
      <c r="H138" s="343" t="s">
        <v>76</v>
      </c>
      <c r="I138" s="344"/>
      <c r="J138" s="344"/>
      <c r="K138" s="344"/>
      <c r="L138" s="344"/>
      <c r="M138" s="344"/>
      <c r="N138" s="344"/>
      <c r="O138" s="344"/>
      <c r="P138" s="344"/>
      <c r="Q138" s="344"/>
      <c r="R138" s="344"/>
      <c r="S138" s="345"/>
      <c r="T138" s="343" t="s">
        <v>77</v>
      </c>
      <c r="U138" s="344"/>
      <c r="V138" s="344"/>
      <c r="W138" s="344"/>
      <c r="X138" s="344"/>
      <c r="Y138" s="344"/>
      <c r="Z138" s="344"/>
      <c r="AA138" s="344"/>
      <c r="AB138" s="344"/>
      <c r="AC138" s="344"/>
      <c r="AD138" s="344"/>
      <c r="AE138" s="345"/>
      <c r="AF138" s="346" t="s">
        <v>78</v>
      </c>
      <c r="AG138" s="344"/>
      <c r="AH138" s="344"/>
      <c r="AI138" s="344"/>
      <c r="AJ138" s="344"/>
      <c r="AK138" s="344"/>
      <c r="AL138" s="344"/>
      <c r="AM138" s="344"/>
      <c r="AN138" s="344"/>
      <c r="AO138" s="344"/>
      <c r="AP138" s="344"/>
      <c r="AQ138" s="347"/>
    </row>
    <row r="139" spans="2:43" s="115" customFormat="1" x14ac:dyDescent="0.25">
      <c r="B139" s="245" t="s">
        <v>72</v>
      </c>
      <c r="C139" s="341"/>
      <c r="D139" s="226" t="s">
        <v>46</v>
      </c>
      <c r="E139" s="309" t="s">
        <v>47</v>
      </c>
      <c r="F139" s="309" t="s">
        <v>48</v>
      </c>
      <c r="G139" s="308" t="s">
        <v>49</v>
      </c>
      <c r="H139" s="226" t="s">
        <v>13</v>
      </c>
      <c r="I139" s="309" t="s">
        <v>14</v>
      </c>
      <c r="J139" s="309" t="s">
        <v>15</v>
      </c>
      <c r="K139" s="309" t="s">
        <v>16</v>
      </c>
      <c r="L139" s="309" t="s">
        <v>17</v>
      </c>
      <c r="M139" s="309" t="s">
        <v>18</v>
      </c>
      <c r="N139" s="309" t="s">
        <v>19</v>
      </c>
      <c r="O139" s="309" t="s">
        <v>20</v>
      </c>
      <c r="P139" s="309" t="s">
        <v>21</v>
      </c>
      <c r="Q139" s="309" t="s">
        <v>22</v>
      </c>
      <c r="R139" s="309" t="s">
        <v>23</v>
      </c>
      <c r="S139" s="308" t="s">
        <v>24</v>
      </c>
      <c r="T139" s="226" t="s">
        <v>13</v>
      </c>
      <c r="U139" s="309" t="s">
        <v>14</v>
      </c>
      <c r="V139" s="309" t="s">
        <v>15</v>
      </c>
      <c r="W139" s="309" t="s">
        <v>16</v>
      </c>
      <c r="X139" s="309" t="s">
        <v>17</v>
      </c>
      <c r="Y139" s="309" t="s">
        <v>18</v>
      </c>
      <c r="Z139" s="309" t="s">
        <v>19</v>
      </c>
      <c r="AA139" s="309" t="s">
        <v>20</v>
      </c>
      <c r="AB139" s="309" t="s">
        <v>21</v>
      </c>
      <c r="AC139" s="309" t="s">
        <v>22</v>
      </c>
      <c r="AD139" s="309" t="s">
        <v>23</v>
      </c>
      <c r="AE139" s="308" t="s">
        <v>24</v>
      </c>
      <c r="AF139" s="227" t="s">
        <v>13</v>
      </c>
      <c r="AG139" s="309" t="s">
        <v>14</v>
      </c>
      <c r="AH139" s="309" t="s">
        <v>15</v>
      </c>
      <c r="AI139" s="309" t="s">
        <v>16</v>
      </c>
      <c r="AJ139" s="309" t="s">
        <v>17</v>
      </c>
      <c r="AK139" s="309" t="s">
        <v>18</v>
      </c>
      <c r="AL139" s="309" t="s">
        <v>19</v>
      </c>
      <c r="AM139" s="309" t="s">
        <v>20</v>
      </c>
      <c r="AN139" s="309" t="s">
        <v>21</v>
      </c>
      <c r="AO139" s="309" t="s">
        <v>22</v>
      </c>
      <c r="AP139" s="309" t="s">
        <v>23</v>
      </c>
      <c r="AQ139" s="246" t="s">
        <v>24</v>
      </c>
    </row>
    <row r="140" spans="2:43" s="115" customFormat="1" x14ac:dyDescent="0.25">
      <c r="B140" s="245" t="s">
        <v>73</v>
      </c>
      <c r="C140" s="341"/>
      <c r="D140" s="202">
        <f>1/$C$16*D16*$D$26</f>
        <v>0.27349726775956285</v>
      </c>
      <c r="E140" s="197">
        <f>1/$C$16*E16*$D$26</f>
        <v>0.27349726775956285</v>
      </c>
      <c r="F140" s="197">
        <f>1/$C$16*F16*$D$26</f>
        <v>0.2765027322404372</v>
      </c>
      <c r="G140" s="197">
        <f>1/$C$16*G16*$D$26</f>
        <v>0.2765027322404372</v>
      </c>
      <c r="H140" s="202">
        <f t="shared" ref="H140:S140" si="119">1/$C$16*H16*$E$26</f>
        <v>0.1058743169398907</v>
      </c>
      <c r="I140" s="200">
        <f t="shared" si="119"/>
        <v>9.9043715846994534E-2</v>
      </c>
      <c r="J140" s="200">
        <f t="shared" si="119"/>
        <v>0.1058743169398907</v>
      </c>
      <c r="K140" s="200">
        <f t="shared" si="119"/>
        <v>0.10245901639344261</v>
      </c>
      <c r="L140" s="200">
        <f t="shared" si="119"/>
        <v>0.1058743169398907</v>
      </c>
      <c r="M140" s="200">
        <f t="shared" si="119"/>
        <v>0.10245901639344261</v>
      </c>
      <c r="N140" s="200">
        <f t="shared" si="119"/>
        <v>0.1058743169398907</v>
      </c>
      <c r="O140" s="200">
        <f t="shared" si="119"/>
        <v>0.1058743169398907</v>
      </c>
      <c r="P140" s="200">
        <f t="shared" si="119"/>
        <v>0.10245901639344261</v>
      </c>
      <c r="Q140" s="200">
        <f t="shared" si="119"/>
        <v>0.1058743169398907</v>
      </c>
      <c r="R140" s="200">
        <f t="shared" si="119"/>
        <v>0.10245901639344261</v>
      </c>
      <c r="S140" s="198">
        <f t="shared" si="119"/>
        <v>0.1058743169398907</v>
      </c>
      <c r="T140" s="200">
        <f t="shared" ref="T140:AE140" si="120">1/$C$16*$F$26</f>
        <v>4.0983606557377051E-3</v>
      </c>
      <c r="U140" s="200">
        <f t="shared" si="120"/>
        <v>4.0983606557377051E-3</v>
      </c>
      <c r="V140" s="200">
        <f t="shared" si="120"/>
        <v>4.0983606557377051E-3</v>
      </c>
      <c r="W140" s="200">
        <f t="shared" si="120"/>
        <v>4.0983606557377051E-3</v>
      </c>
      <c r="X140" s="200">
        <f t="shared" si="120"/>
        <v>4.0983606557377051E-3</v>
      </c>
      <c r="Y140" s="200">
        <f t="shared" si="120"/>
        <v>4.0983606557377051E-3</v>
      </c>
      <c r="Z140" s="200">
        <f t="shared" si="120"/>
        <v>4.0983606557377051E-3</v>
      </c>
      <c r="AA140" s="200">
        <f t="shared" si="120"/>
        <v>4.0983606557377051E-3</v>
      </c>
      <c r="AB140" s="200">
        <f t="shared" si="120"/>
        <v>4.0983606557377051E-3</v>
      </c>
      <c r="AC140" s="200">
        <f t="shared" si="120"/>
        <v>4.0983606557377051E-3</v>
      </c>
      <c r="AD140" s="200">
        <f t="shared" si="120"/>
        <v>4.0983606557377051E-3</v>
      </c>
      <c r="AE140" s="198">
        <f t="shared" si="120"/>
        <v>4.0983606557377051E-3</v>
      </c>
      <c r="AF140" s="200">
        <f t="shared" ref="AF140:AQ140" si="121">1/$C$16*$G$26</f>
        <v>4.6448087431693987E-3</v>
      </c>
      <c r="AG140" s="200">
        <f t="shared" si="121"/>
        <v>4.6448087431693987E-3</v>
      </c>
      <c r="AH140" s="200">
        <f t="shared" si="121"/>
        <v>4.6448087431693987E-3</v>
      </c>
      <c r="AI140" s="200">
        <f t="shared" si="121"/>
        <v>4.6448087431693987E-3</v>
      </c>
      <c r="AJ140" s="200">
        <f t="shared" si="121"/>
        <v>4.6448087431693987E-3</v>
      </c>
      <c r="AK140" s="200">
        <f t="shared" si="121"/>
        <v>4.6448087431693987E-3</v>
      </c>
      <c r="AL140" s="200">
        <f t="shared" si="121"/>
        <v>4.6448087431693987E-3</v>
      </c>
      <c r="AM140" s="200">
        <f t="shared" si="121"/>
        <v>4.6448087431693987E-3</v>
      </c>
      <c r="AN140" s="200">
        <f t="shared" si="121"/>
        <v>4.6448087431693987E-3</v>
      </c>
      <c r="AO140" s="200">
        <f t="shared" si="121"/>
        <v>4.6448087431693987E-3</v>
      </c>
      <c r="AP140" s="200">
        <f t="shared" si="121"/>
        <v>4.6448087431693987E-3</v>
      </c>
      <c r="AQ140" s="257">
        <f t="shared" si="121"/>
        <v>4.6448087431693987E-3</v>
      </c>
    </row>
    <row r="141" spans="2:43" s="115" customFormat="1" x14ac:dyDescent="0.25">
      <c r="B141" s="245" t="s">
        <v>153</v>
      </c>
      <c r="C141" s="341"/>
      <c r="D141" s="202">
        <f>1/$C$16*D16*$H$26</f>
        <v>0.27349726775956285</v>
      </c>
      <c r="E141" s="197">
        <f>1/$C$16*E16*$H$26</f>
        <v>0.27349726775956285</v>
      </c>
      <c r="F141" s="197">
        <f>1/$C$16*F16*$H$26</f>
        <v>0.2765027322404372</v>
      </c>
      <c r="G141" s="197">
        <f>1/$C$16*G16*$H$26</f>
        <v>0.2765027322404372</v>
      </c>
      <c r="H141" s="202">
        <f t="shared" ref="H141:S141" si="122">1/$C$16*H16*$I$26</f>
        <v>0.1058743169398907</v>
      </c>
      <c r="I141" s="200">
        <f t="shared" si="122"/>
        <v>9.9043715846994534E-2</v>
      </c>
      <c r="J141" s="200">
        <f t="shared" si="122"/>
        <v>0.1058743169398907</v>
      </c>
      <c r="K141" s="200">
        <f t="shared" si="122"/>
        <v>0.10245901639344261</v>
      </c>
      <c r="L141" s="200">
        <f t="shared" si="122"/>
        <v>0.1058743169398907</v>
      </c>
      <c r="M141" s="200">
        <f t="shared" si="122"/>
        <v>0.10245901639344261</v>
      </c>
      <c r="N141" s="200">
        <f t="shared" si="122"/>
        <v>0.1058743169398907</v>
      </c>
      <c r="O141" s="200">
        <f t="shared" si="122"/>
        <v>0.1058743169398907</v>
      </c>
      <c r="P141" s="200">
        <f t="shared" si="122"/>
        <v>0.10245901639344261</v>
      </c>
      <c r="Q141" s="200">
        <f t="shared" si="122"/>
        <v>0.1058743169398907</v>
      </c>
      <c r="R141" s="200">
        <f t="shared" si="122"/>
        <v>0.10245901639344261</v>
      </c>
      <c r="S141" s="198">
        <f t="shared" si="122"/>
        <v>0.1058743169398907</v>
      </c>
      <c r="T141" s="200">
        <f t="shared" ref="T141:AE141" si="123">1/$C$16*$J$26</f>
        <v>4.0983606557377051E-3</v>
      </c>
      <c r="U141" s="200">
        <f t="shared" si="123"/>
        <v>4.0983606557377051E-3</v>
      </c>
      <c r="V141" s="200">
        <f t="shared" si="123"/>
        <v>4.0983606557377051E-3</v>
      </c>
      <c r="W141" s="200">
        <f t="shared" si="123"/>
        <v>4.0983606557377051E-3</v>
      </c>
      <c r="X141" s="200">
        <f t="shared" si="123"/>
        <v>4.0983606557377051E-3</v>
      </c>
      <c r="Y141" s="200">
        <f t="shared" si="123"/>
        <v>4.0983606557377051E-3</v>
      </c>
      <c r="Z141" s="200">
        <f t="shared" si="123"/>
        <v>4.0983606557377051E-3</v>
      </c>
      <c r="AA141" s="200">
        <f t="shared" si="123"/>
        <v>4.0983606557377051E-3</v>
      </c>
      <c r="AB141" s="200">
        <f t="shared" si="123"/>
        <v>4.0983606557377051E-3</v>
      </c>
      <c r="AC141" s="200">
        <f t="shared" si="123"/>
        <v>4.0983606557377051E-3</v>
      </c>
      <c r="AD141" s="200">
        <f t="shared" si="123"/>
        <v>4.0983606557377051E-3</v>
      </c>
      <c r="AE141" s="198">
        <f t="shared" si="123"/>
        <v>4.0983606557377051E-3</v>
      </c>
      <c r="AF141" s="200">
        <f t="shared" ref="AF141:AQ141" si="124">1/$C$16*$K$26</f>
        <v>4.6448087431693987E-3</v>
      </c>
      <c r="AG141" s="200">
        <f t="shared" si="124"/>
        <v>4.6448087431693987E-3</v>
      </c>
      <c r="AH141" s="200">
        <f t="shared" si="124"/>
        <v>4.6448087431693987E-3</v>
      </c>
      <c r="AI141" s="200">
        <f t="shared" si="124"/>
        <v>4.6448087431693987E-3</v>
      </c>
      <c r="AJ141" s="200">
        <f t="shared" si="124"/>
        <v>4.6448087431693987E-3</v>
      </c>
      <c r="AK141" s="200">
        <f t="shared" si="124"/>
        <v>4.6448087431693987E-3</v>
      </c>
      <c r="AL141" s="200">
        <f t="shared" si="124"/>
        <v>4.6448087431693987E-3</v>
      </c>
      <c r="AM141" s="200">
        <f t="shared" si="124"/>
        <v>4.6448087431693987E-3</v>
      </c>
      <c r="AN141" s="200">
        <f t="shared" si="124"/>
        <v>4.6448087431693987E-3</v>
      </c>
      <c r="AO141" s="200">
        <f t="shared" si="124"/>
        <v>4.6448087431693987E-3</v>
      </c>
      <c r="AP141" s="200">
        <f t="shared" si="124"/>
        <v>4.6448087431693987E-3</v>
      </c>
      <c r="AQ141" s="257">
        <f t="shared" si="124"/>
        <v>4.6448087431693987E-3</v>
      </c>
    </row>
    <row r="142" spans="2:43" s="115" customFormat="1" x14ac:dyDescent="0.25">
      <c r="B142" s="245" t="s">
        <v>74</v>
      </c>
      <c r="C142" s="341"/>
      <c r="D142" s="202">
        <f>1/$C$16*D16*$L$26*D47</f>
        <v>0.46618852459016391</v>
      </c>
      <c r="E142" s="197">
        <f>1/$C$16*E16*$L$26*E47</f>
        <v>0.21755464480874315</v>
      </c>
      <c r="F142" s="197">
        <f>1/$C$16*F16*$L$26*F47</f>
        <v>0.15396174863387979</v>
      </c>
      <c r="G142" s="197">
        <f>1/$C$16*G16*$L$26*G47</f>
        <v>0.41161202185792356</v>
      </c>
      <c r="H142" s="202">
        <f t="shared" ref="H142:S142" si="125">1/$C$16*H16*$M$26*H47</f>
        <v>0.21979508196721312</v>
      </c>
      <c r="I142" s="200">
        <f t="shared" si="125"/>
        <v>0.16163934426229509</v>
      </c>
      <c r="J142" s="200">
        <f t="shared" si="125"/>
        <v>0.1765983606557377</v>
      </c>
      <c r="K142" s="200">
        <f t="shared" si="125"/>
        <v>0.10942622950819672</v>
      </c>
      <c r="L142" s="200">
        <f t="shared" si="125"/>
        <v>8.8934426229508187E-2</v>
      </c>
      <c r="M142" s="200">
        <f t="shared" si="125"/>
        <v>6.5163934426229517E-2</v>
      </c>
      <c r="N142" s="200">
        <f t="shared" si="125"/>
        <v>5.463114754098361E-2</v>
      </c>
      <c r="O142" s="200">
        <f t="shared" si="125"/>
        <v>6.098360655737705E-2</v>
      </c>
      <c r="P142" s="200">
        <f t="shared" si="125"/>
        <v>6.8852459016393447E-2</v>
      </c>
      <c r="Q142" s="200">
        <f t="shared" si="125"/>
        <v>0.12450819672131147</v>
      </c>
      <c r="R142" s="200">
        <f t="shared" si="125"/>
        <v>0.15737704918032788</v>
      </c>
      <c r="S142" s="198">
        <f t="shared" si="125"/>
        <v>0.21090163934426229</v>
      </c>
      <c r="T142" s="200">
        <f t="shared" ref="T142:AE142" si="126">1/$C$16*$N$26*T47</f>
        <v>1.418032786885246E-2</v>
      </c>
      <c r="U142" s="200">
        <f t="shared" si="126"/>
        <v>1.1147540983606558E-2</v>
      </c>
      <c r="V142" s="200">
        <f t="shared" si="126"/>
        <v>1.139344262295082E-2</v>
      </c>
      <c r="W142" s="200">
        <f t="shared" si="126"/>
        <v>7.2950819672131153E-3</v>
      </c>
      <c r="X142" s="200">
        <f t="shared" si="126"/>
        <v>5.7377049180327867E-3</v>
      </c>
      <c r="Y142" s="200">
        <f t="shared" si="126"/>
        <v>4.3442622950819673E-3</v>
      </c>
      <c r="Z142" s="200">
        <f t="shared" si="126"/>
        <v>3.5245901639344266E-3</v>
      </c>
      <c r="AA142" s="200">
        <f t="shared" si="126"/>
        <v>3.9344262295081967E-3</v>
      </c>
      <c r="AB142" s="200">
        <f t="shared" si="126"/>
        <v>4.5901639344262304E-3</v>
      </c>
      <c r="AC142" s="200">
        <f t="shared" si="126"/>
        <v>8.0327868852459027E-3</v>
      </c>
      <c r="AD142" s="200">
        <f t="shared" si="126"/>
        <v>1.0491803278688525E-2</v>
      </c>
      <c r="AE142" s="198">
        <f t="shared" si="126"/>
        <v>1.360655737704918E-2</v>
      </c>
      <c r="AF142" s="200">
        <f t="shared" ref="AF142:AQ142" si="127">1/$C$16*$N$26*T47</f>
        <v>1.418032786885246E-2</v>
      </c>
      <c r="AG142" s="200">
        <f t="shared" si="127"/>
        <v>1.1147540983606558E-2</v>
      </c>
      <c r="AH142" s="200">
        <f t="shared" si="127"/>
        <v>1.139344262295082E-2</v>
      </c>
      <c r="AI142" s="200">
        <f t="shared" si="127"/>
        <v>7.2950819672131153E-3</v>
      </c>
      <c r="AJ142" s="200">
        <f t="shared" si="127"/>
        <v>5.7377049180327867E-3</v>
      </c>
      <c r="AK142" s="200">
        <f t="shared" si="127"/>
        <v>4.3442622950819673E-3</v>
      </c>
      <c r="AL142" s="200">
        <f t="shared" si="127"/>
        <v>3.5245901639344266E-3</v>
      </c>
      <c r="AM142" s="200">
        <f t="shared" si="127"/>
        <v>3.9344262295081967E-3</v>
      </c>
      <c r="AN142" s="200">
        <f t="shared" si="127"/>
        <v>4.5901639344262304E-3</v>
      </c>
      <c r="AO142" s="200">
        <f t="shared" si="127"/>
        <v>8.0327868852459027E-3</v>
      </c>
      <c r="AP142" s="200">
        <f t="shared" si="127"/>
        <v>1.0491803278688525E-2</v>
      </c>
      <c r="AQ142" s="257">
        <f t="shared" si="127"/>
        <v>1.360655737704918E-2</v>
      </c>
    </row>
    <row r="143" spans="2:43" s="115" customFormat="1" x14ac:dyDescent="0.25">
      <c r="B143" s="245" t="s">
        <v>154</v>
      </c>
      <c r="C143" s="341"/>
      <c r="D143" s="202">
        <f>1/$C$16*D16*$L$26*D37</f>
        <v>0.46618852459016391</v>
      </c>
      <c r="E143" s="197">
        <f>1/$C$16*E16*$L$26*E37</f>
        <v>0.21755464480874315</v>
      </c>
      <c r="F143" s="197">
        <f>1/$C$16*F16*$L$26*F37</f>
        <v>0.15396174863387979</v>
      </c>
      <c r="G143" s="197">
        <f>1/$C$16*G16*$L$26*G37</f>
        <v>0.41161202185792356</v>
      </c>
      <c r="H143" s="202">
        <f t="shared" ref="H143:S143" si="128">1/$C$16*H16*$M$26*H37</f>
        <v>0.21979508196721312</v>
      </c>
      <c r="I143" s="200">
        <f t="shared" si="128"/>
        <v>0.16163934426229509</v>
      </c>
      <c r="J143" s="200">
        <f t="shared" si="128"/>
        <v>0.1765983606557377</v>
      </c>
      <c r="K143" s="200">
        <f t="shared" si="128"/>
        <v>0.10942622950819672</v>
      </c>
      <c r="L143" s="200">
        <f t="shared" si="128"/>
        <v>8.8934426229508187E-2</v>
      </c>
      <c r="M143" s="200">
        <f t="shared" si="128"/>
        <v>6.5163934426229517E-2</v>
      </c>
      <c r="N143" s="200">
        <f t="shared" si="128"/>
        <v>5.463114754098361E-2</v>
      </c>
      <c r="O143" s="200">
        <f t="shared" si="128"/>
        <v>6.098360655737705E-2</v>
      </c>
      <c r="P143" s="200">
        <f t="shared" si="128"/>
        <v>6.8852459016393447E-2</v>
      </c>
      <c r="Q143" s="200">
        <f t="shared" si="128"/>
        <v>0.12450819672131147</v>
      </c>
      <c r="R143" s="200">
        <f t="shared" si="128"/>
        <v>0.15737704918032788</v>
      </c>
      <c r="S143" s="198">
        <f t="shared" si="128"/>
        <v>0.21090163934426229</v>
      </c>
      <c r="T143" s="200">
        <f t="shared" ref="T143:AE143" si="129">1/$C$16*$N$26*T37</f>
        <v>1.418032786885246E-2</v>
      </c>
      <c r="U143" s="200">
        <f t="shared" si="129"/>
        <v>1.1147540983606558E-2</v>
      </c>
      <c r="V143" s="200">
        <f t="shared" si="129"/>
        <v>1.139344262295082E-2</v>
      </c>
      <c r="W143" s="200">
        <f t="shared" si="129"/>
        <v>7.2950819672131153E-3</v>
      </c>
      <c r="X143" s="200">
        <f t="shared" si="129"/>
        <v>5.7377049180327867E-3</v>
      </c>
      <c r="Y143" s="200">
        <f t="shared" si="129"/>
        <v>4.3442622950819673E-3</v>
      </c>
      <c r="Z143" s="200">
        <f t="shared" si="129"/>
        <v>3.5245901639344266E-3</v>
      </c>
      <c r="AA143" s="200">
        <f t="shared" si="129"/>
        <v>3.9344262295081967E-3</v>
      </c>
      <c r="AB143" s="200">
        <f t="shared" si="129"/>
        <v>4.5901639344262304E-3</v>
      </c>
      <c r="AC143" s="200">
        <f t="shared" si="129"/>
        <v>8.0327868852459027E-3</v>
      </c>
      <c r="AD143" s="200">
        <f t="shared" si="129"/>
        <v>1.0491803278688525E-2</v>
      </c>
      <c r="AE143" s="198">
        <f t="shared" si="129"/>
        <v>1.360655737704918E-2</v>
      </c>
      <c r="AF143" s="200">
        <f t="shared" ref="AF143:AQ143" si="130">1/$C$16*$N$26*T37</f>
        <v>1.418032786885246E-2</v>
      </c>
      <c r="AG143" s="200">
        <f t="shared" si="130"/>
        <v>1.1147540983606558E-2</v>
      </c>
      <c r="AH143" s="200">
        <f t="shared" si="130"/>
        <v>1.139344262295082E-2</v>
      </c>
      <c r="AI143" s="200">
        <f t="shared" si="130"/>
        <v>7.2950819672131153E-3</v>
      </c>
      <c r="AJ143" s="200">
        <f t="shared" si="130"/>
        <v>5.7377049180327867E-3</v>
      </c>
      <c r="AK143" s="200">
        <f t="shared" si="130"/>
        <v>4.3442622950819673E-3</v>
      </c>
      <c r="AL143" s="200">
        <f t="shared" si="130"/>
        <v>3.5245901639344266E-3</v>
      </c>
      <c r="AM143" s="200">
        <f t="shared" si="130"/>
        <v>3.9344262295081967E-3</v>
      </c>
      <c r="AN143" s="200">
        <f t="shared" si="130"/>
        <v>4.5901639344262304E-3</v>
      </c>
      <c r="AO143" s="200">
        <f t="shared" si="130"/>
        <v>8.0327868852459027E-3</v>
      </c>
      <c r="AP143" s="200">
        <f t="shared" si="130"/>
        <v>1.0491803278688525E-2</v>
      </c>
      <c r="AQ143" s="257">
        <f t="shared" si="130"/>
        <v>1.360655737704918E-2</v>
      </c>
    </row>
    <row r="144" spans="2:43" s="115" customFormat="1" x14ac:dyDescent="0.25">
      <c r="B144" s="247" t="s">
        <v>80</v>
      </c>
      <c r="C144" s="211">
        <f>ROUND(Kainos!J120,2)</f>
        <v>142.77000000000001</v>
      </c>
      <c r="D144" s="241">
        <f t="shared" ref="D144:AQ144" si="131">$C$144*D140</f>
        <v>39.04720491803279</v>
      </c>
      <c r="E144" s="241">
        <f t="shared" si="131"/>
        <v>39.04720491803279</v>
      </c>
      <c r="F144" s="241">
        <f t="shared" si="131"/>
        <v>39.476295081967223</v>
      </c>
      <c r="G144" s="318">
        <f t="shared" si="131"/>
        <v>39.476295081967223</v>
      </c>
      <c r="H144" s="241">
        <f t="shared" si="131"/>
        <v>15.115676229508196</v>
      </c>
      <c r="I144" s="241">
        <f t="shared" si="131"/>
        <v>14.140471311475411</v>
      </c>
      <c r="J144" s="241">
        <f t="shared" si="131"/>
        <v>15.115676229508196</v>
      </c>
      <c r="K144" s="241">
        <f t="shared" si="131"/>
        <v>14.628073770491802</v>
      </c>
      <c r="L144" s="241">
        <f t="shared" si="131"/>
        <v>15.115676229508196</v>
      </c>
      <c r="M144" s="241">
        <f t="shared" si="131"/>
        <v>14.628073770491802</v>
      </c>
      <c r="N144" s="241">
        <f t="shared" si="131"/>
        <v>15.115676229508196</v>
      </c>
      <c r="O144" s="241">
        <f t="shared" si="131"/>
        <v>15.115676229508196</v>
      </c>
      <c r="P144" s="241">
        <f t="shared" si="131"/>
        <v>14.628073770491802</v>
      </c>
      <c r="Q144" s="241">
        <f t="shared" si="131"/>
        <v>15.115676229508196</v>
      </c>
      <c r="R144" s="241">
        <f t="shared" si="131"/>
        <v>14.628073770491802</v>
      </c>
      <c r="S144" s="318">
        <f t="shared" si="131"/>
        <v>15.115676229508196</v>
      </c>
      <c r="T144" s="241">
        <f t="shared" si="131"/>
        <v>0.58512295081967225</v>
      </c>
      <c r="U144" s="241">
        <f t="shared" si="131"/>
        <v>0.58512295081967225</v>
      </c>
      <c r="V144" s="241">
        <f t="shared" si="131"/>
        <v>0.58512295081967225</v>
      </c>
      <c r="W144" s="241">
        <f t="shared" si="131"/>
        <v>0.58512295081967225</v>
      </c>
      <c r="X144" s="241">
        <f t="shared" si="131"/>
        <v>0.58512295081967225</v>
      </c>
      <c r="Y144" s="241">
        <f t="shared" si="131"/>
        <v>0.58512295081967225</v>
      </c>
      <c r="Z144" s="241">
        <f t="shared" si="131"/>
        <v>0.58512295081967225</v>
      </c>
      <c r="AA144" s="241">
        <f t="shared" si="131"/>
        <v>0.58512295081967225</v>
      </c>
      <c r="AB144" s="241">
        <f t="shared" si="131"/>
        <v>0.58512295081967225</v>
      </c>
      <c r="AC144" s="241">
        <f t="shared" si="131"/>
        <v>0.58512295081967225</v>
      </c>
      <c r="AD144" s="241">
        <f t="shared" si="131"/>
        <v>0.58512295081967225</v>
      </c>
      <c r="AE144" s="318">
        <f t="shared" si="131"/>
        <v>0.58512295081967225</v>
      </c>
      <c r="AF144" s="241">
        <f t="shared" si="131"/>
        <v>0.66313934426229515</v>
      </c>
      <c r="AG144" s="241">
        <f t="shared" si="131"/>
        <v>0.66313934426229515</v>
      </c>
      <c r="AH144" s="241">
        <f t="shared" si="131"/>
        <v>0.66313934426229515</v>
      </c>
      <c r="AI144" s="241">
        <f t="shared" si="131"/>
        <v>0.66313934426229515</v>
      </c>
      <c r="AJ144" s="241">
        <f t="shared" si="131"/>
        <v>0.66313934426229515</v>
      </c>
      <c r="AK144" s="241">
        <f t="shared" si="131"/>
        <v>0.66313934426229515</v>
      </c>
      <c r="AL144" s="241">
        <f t="shared" si="131"/>
        <v>0.66313934426229515</v>
      </c>
      <c r="AM144" s="241">
        <f t="shared" si="131"/>
        <v>0.66313934426229515</v>
      </c>
      <c r="AN144" s="241">
        <f t="shared" si="131"/>
        <v>0.66313934426229515</v>
      </c>
      <c r="AO144" s="241">
        <f t="shared" si="131"/>
        <v>0.66313934426229515</v>
      </c>
      <c r="AP144" s="241">
        <f t="shared" si="131"/>
        <v>0.66313934426229515</v>
      </c>
      <c r="AQ144" s="319">
        <f t="shared" si="131"/>
        <v>0.66313934426229515</v>
      </c>
    </row>
    <row r="145" spans="2:57" s="115" customFormat="1" x14ac:dyDescent="0.25">
      <c r="B145" s="323" t="s">
        <v>181</v>
      </c>
      <c r="C145" s="211">
        <f>ROUND(Kainos!J121,2)</f>
        <v>142.77000000000001</v>
      </c>
      <c r="D145" s="241">
        <f>$C$145*D70</f>
        <v>39.04720491803279</v>
      </c>
      <c r="E145" s="241">
        <f t="shared" ref="E145:AQ145" si="132">$C$145*E70</f>
        <v>39.04720491803279</v>
      </c>
      <c r="F145" s="241">
        <f t="shared" si="132"/>
        <v>39.476295081967223</v>
      </c>
      <c r="G145" s="318">
        <f t="shared" si="132"/>
        <v>39.476295081967223</v>
      </c>
      <c r="H145" s="241">
        <f t="shared" si="132"/>
        <v>15.115676229508196</v>
      </c>
      <c r="I145" s="241">
        <f t="shared" si="132"/>
        <v>14.140471311475411</v>
      </c>
      <c r="J145" s="241">
        <f t="shared" si="132"/>
        <v>15.115676229508196</v>
      </c>
      <c r="K145" s="241">
        <f t="shared" si="132"/>
        <v>14.628073770491802</v>
      </c>
      <c r="L145" s="241">
        <f t="shared" si="132"/>
        <v>15.115676229508196</v>
      </c>
      <c r="M145" s="241">
        <f t="shared" si="132"/>
        <v>14.628073770491802</v>
      </c>
      <c r="N145" s="241">
        <f t="shared" si="132"/>
        <v>15.115676229508196</v>
      </c>
      <c r="O145" s="241">
        <f t="shared" si="132"/>
        <v>15.115676229508196</v>
      </c>
      <c r="P145" s="241">
        <f t="shared" si="132"/>
        <v>14.628073770491802</v>
      </c>
      <c r="Q145" s="241">
        <f t="shared" si="132"/>
        <v>15.115676229508196</v>
      </c>
      <c r="R145" s="241">
        <f t="shared" si="132"/>
        <v>14.628073770491802</v>
      </c>
      <c r="S145" s="318">
        <f t="shared" si="132"/>
        <v>15.115676229508196</v>
      </c>
      <c r="T145" s="241">
        <f t="shared" si="132"/>
        <v>0.58512295081967225</v>
      </c>
      <c r="U145" s="241">
        <f t="shared" si="132"/>
        <v>0.58512295081967225</v>
      </c>
      <c r="V145" s="241">
        <f t="shared" si="132"/>
        <v>0.58512295081967225</v>
      </c>
      <c r="W145" s="241">
        <f t="shared" si="132"/>
        <v>0.58512295081967225</v>
      </c>
      <c r="X145" s="241">
        <f t="shared" si="132"/>
        <v>0.58512295081967225</v>
      </c>
      <c r="Y145" s="241">
        <f t="shared" si="132"/>
        <v>0.58512295081967225</v>
      </c>
      <c r="Z145" s="241">
        <f t="shared" si="132"/>
        <v>0.58512295081967225</v>
      </c>
      <c r="AA145" s="241">
        <f t="shared" si="132"/>
        <v>0.58512295081967225</v>
      </c>
      <c r="AB145" s="241">
        <f t="shared" si="132"/>
        <v>0.58512295081967225</v>
      </c>
      <c r="AC145" s="241">
        <f t="shared" si="132"/>
        <v>0.58512295081967225</v>
      </c>
      <c r="AD145" s="241">
        <f t="shared" si="132"/>
        <v>0.58512295081967225</v>
      </c>
      <c r="AE145" s="318">
        <f t="shared" si="132"/>
        <v>0.58512295081967225</v>
      </c>
      <c r="AF145" s="241">
        <f t="shared" si="132"/>
        <v>0.66313934426229515</v>
      </c>
      <c r="AG145" s="241">
        <f t="shared" si="132"/>
        <v>0.66313934426229515</v>
      </c>
      <c r="AH145" s="241">
        <f t="shared" si="132"/>
        <v>0.66313934426229515</v>
      </c>
      <c r="AI145" s="241">
        <f t="shared" si="132"/>
        <v>0.66313934426229515</v>
      </c>
      <c r="AJ145" s="241">
        <f t="shared" si="132"/>
        <v>0.66313934426229515</v>
      </c>
      <c r="AK145" s="241">
        <f t="shared" si="132"/>
        <v>0.66313934426229515</v>
      </c>
      <c r="AL145" s="241">
        <f t="shared" si="132"/>
        <v>0.66313934426229515</v>
      </c>
      <c r="AM145" s="241">
        <f t="shared" si="132"/>
        <v>0.66313934426229515</v>
      </c>
      <c r="AN145" s="241">
        <f t="shared" si="132"/>
        <v>0.66313934426229515</v>
      </c>
      <c r="AO145" s="241">
        <f t="shared" si="132"/>
        <v>0.66313934426229515</v>
      </c>
      <c r="AP145" s="241">
        <f t="shared" si="132"/>
        <v>0.66313934426229515</v>
      </c>
      <c r="AQ145" s="319">
        <f t="shared" si="132"/>
        <v>0.66313934426229515</v>
      </c>
    </row>
    <row r="146" spans="2:57" s="115" customFormat="1" x14ac:dyDescent="0.25">
      <c r="B146" s="247" t="s">
        <v>81</v>
      </c>
      <c r="C146" s="211">
        <f>ROUND(Kainos!J122,2)</f>
        <v>35.96</v>
      </c>
      <c r="D146" s="241">
        <f t="shared" ref="D146:AQ146" si="133">$C$146*D140</f>
        <v>9.8349617486338801</v>
      </c>
      <c r="E146" s="241">
        <f t="shared" si="133"/>
        <v>9.8349617486338801</v>
      </c>
      <c r="F146" s="241">
        <f t="shared" si="133"/>
        <v>9.9430382513661222</v>
      </c>
      <c r="G146" s="318">
        <f t="shared" si="133"/>
        <v>9.9430382513661222</v>
      </c>
      <c r="H146" s="241">
        <f t="shared" si="133"/>
        <v>3.8072404371584696</v>
      </c>
      <c r="I146" s="241">
        <f t="shared" si="133"/>
        <v>3.5616120218579237</v>
      </c>
      <c r="J146" s="241">
        <f t="shared" si="133"/>
        <v>3.8072404371584696</v>
      </c>
      <c r="K146" s="241">
        <f t="shared" si="133"/>
        <v>3.6844262295081962</v>
      </c>
      <c r="L146" s="241">
        <f t="shared" si="133"/>
        <v>3.8072404371584696</v>
      </c>
      <c r="M146" s="241">
        <f t="shared" si="133"/>
        <v>3.6844262295081962</v>
      </c>
      <c r="N146" s="241">
        <f t="shared" si="133"/>
        <v>3.8072404371584696</v>
      </c>
      <c r="O146" s="241">
        <f t="shared" si="133"/>
        <v>3.8072404371584696</v>
      </c>
      <c r="P146" s="241">
        <f t="shared" si="133"/>
        <v>3.6844262295081962</v>
      </c>
      <c r="Q146" s="241">
        <f t="shared" si="133"/>
        <v>3.8072404371584696</v>
      </c>
      <c r="R146" s="241">
        <f t="shared" si="133"/>
        <v>3.6844262295081962</v>
      </c>
      <c r="S146" s="318">
        <f t="shared" si="133"/>
        <v>3.8072404371584696</v>
      </c>
      <c r="T146" s="241">
        <f t="shared" si="133"/>
        <v>0.14737704918032787</v>
      </c>
      <c r="U146" s="241">
        <f t="shared" si="133"/>
        <v>0.14737704918032787</v>
      </c>
      <c r="V146" s="241">
        <f t="shared" si="133"/>
        <v>0.14737704918032787</v>
      </c>
      <c r="W146" s="241">
        <f t="shared" si="133"/>
        <v>0.14737704918032787</v>
      </c>
      <c r="X146" s="241">
        <f t="shared" si="133"/>
        <v>0.14737704918032787</v>
      </c>
      <c r="Y146" s="241">
        <f t="shared" si="133"/>
        <v>0.14737704918032787</v>
      </c>
      <c r="Z146" s="241">
        <f t="shared" si="133"/>
        <v>0.14737704918032787</v>
      </c>
      <c r="AA146" s="241">
        <f t="shared" si="133"/>
        <v>0.14737704918032787</v>
      </c>
      <c r="AB146" s="241">
        <f t="shared" si="133"/>
        <v>0.14737704918032787</v>
      </c>
      <c r="AC146" s="241">
        <f t="shared" si="133"/>
        <v>0.14737704918032787</v>
      </c>
      <c r="AD146" s="241">
        <f t="shared" si="133"/>
        <v>0.14737704918032787</v>
      </c>
      <c r="AE146" s="318">
        <f t="shared" si="133"/>
        <v>0.14737704918032787</v>
      </c>
      <c r="AF146" s="241">
        <f t="shared" si="133"/>
        <v>0.16702732240437157</v>
      </c>
      <c r="AG146" s="241">
        <f t="shared" si="133"/>
        <v>0.16702732240437157</v>
      </c>
      <c r="AH146" s="241">
        <f t="shared" si="133"/>
        <v>0.16702732240437157</v>
      </c>
      <c r="AI146" s="241">
        <f t="shared" si="133"/>
        <v>0.16702732240437157</v>
      </c>
      <c r="AJ146" s="241">
        <f t="shared" si="133"/>
        <v>0.16702732240437157</v>
      </c>
      <c r="AK146" s="241">
        <f t="shared" si="133"/>
        <v>0.16702732240437157</v>
      </c>
      <c r="AL146" s="241">
        <f t="shared" si="133"/>
        <v>0.16702732240437157</v>
      </c>
      <c r="AM146" s="241">
        <f t="shared" si="133"/>
        <v>0.16702732240437157</v>
      </c>
      <c r="AN146" s="241">
        <f t="shared" si="133"/>
        <v>0.16702732240437157</v>
      </c>
      <c r="AO146" s="241">
        <f t="shared" si="133"/>
        <v>0.16702732240437157</v>
      </c>
      <c r="AP146" s="241">
        <f t="shared" si="133"/>
        <v>0.16702732240437157</v>
      </c>
      <c r="AQ146" s="319">
        <f t="shared" si="133"/>
        <v>0.16702732240437157</v>
      </c>
    </row>
    <row r="147" spans="2:57" s="115" customFormat="1" x14ac:dyDescent="0.25">
      <c r="B147" s="247" t="s">
        <v>82</v>
      </c>
      <c r="C147" s="211">
        <f>ROUND(Kainos!J123,2)</f>
        <v>142.77000000000001</v>
      </c>
      <c r="D147" s="241">
        <f t="shared" ref="D147:AQ147" si="134">$C$147*D140</f>
        <v>39.04720491803279</v>
      </c>
      <c r="E147" s="241">
        <f t="shared" si="134"/>
        <v>39.04720491803279</v>
      </c>
      <c r="F147" s="241">
        <f t="shared" si="134"/>
        <v>39.476295081967223</v>
      </c>
      <c r="G147" s="318">
        <f t="shared" si="134"/>
        <v>39.476295081967223</v>
      </c>
      <c r="H147" s="241">
        <f t="shared" si="134"/>
        <v>15.115676229508196</v>
      </c>
      <c r="I147" s="241">
        <f t="shared" si="134"/>
        <v>14.140471311475411</v>
      </c>
      <c r="J147" s="241">
        <f t="shared" si="134"/>
        <v>15.115676229508196</v>
      </c>
      <c r="K147" s="241">
        <f t="shared" si="134"/>
        <v>14.628073770491802</v>
      </c>
      <c r="L147" s="241">
        <f t="shared" si="134"/>
        <v>15.115676229508196</v>
      </c>
      <c r="M147" s="241">
        <f t="shared" si="134"/>
        <v>14.628073770491802</v>
      </c>
      <c r="N147" s="241">
        <f t="shared" si="134"/>
        <v>15.115676229508196</v>
      </c>
      <c r="O147" s="241">
        <f t="shared" si="134"/>
        <v>15.115676229508196</v>
      </c>
      <c r="P147" s="241">
        <f t="shared" si="134"/>
        <v>14.628073770491802</v>
      </c>
      <c r="Q147" s="241">
        <f t="shared" si="134"/>
        <v>15.115676229508196</v>
      </c>
      <c r="R147" s="241">
        <f t="shared" si="134"/>
        <v>14.628073770491802</v>
      </c>
      <c r="S147" s="318">
        <f t="shared" si="134"/>
        <v>15.115676229508196</v>
      </c>
      <c r="T147" s="241">
        <f t="shared" si="134"/>
        <v>0.58512295081967225</v>
      </c>
      <c r="U147" s="241">
        <f t="shared" si="134"/>
        <v>0.58512295081967225</v>
      </c>
      <c r="V147" s="241">
        <f t="shared" si="134"/>
        <v>0.58512295081967225</v>
      </c>
      <c r="W147" s="241">
        <f t="shared" si="134"/>
        <v>0.58512295081967225</v>
      </c>
      <c r="X147" s="241">
        <f t="shared" si="134"/>
        <v>0.58512295081967225</v>
      </c>
      <c r="Y147" s="241">
        <f t="shared" si="134"/>
        <v>0.58512295081967225</v>
      </c>
      <c r="Z147" s="241">
        <f t="shared" si="134"/>
        <v>0.58512295081967225</v>
      </c>
      <c r="AA147" s="241">
        <f t="shared" si="134"/>
        <v>0.58512295081967225</v>
      </c>
      <c r="AB147" s="241">
        <f t="shared" si="134"/>
        <v>0.58512295081967225</v>
      </c>
      <c r="AC147" s="241">
        <f t="shared" si="134"/>
        <v>0.58512295081967225</v>
      </c>
      <c r="AD147" s="241">
        <f t="shared" si="134"/>
        <v>0.58512295081967225</v>
      </c>
      <c r="AE147" s="318">
        <f t="shared" si="134"/>
        <v>0.58512295081967225</v>
      </c>
      <c r="AF147" s="241">
        <f t="shared" si="134"/>
        <v>0.66313934426229515</v>
      </c>
      <c r="AG147" s="241">
        <f t="shared" si="134"/>
        <v>0.66313934426229515</v>
      </c>
      <c r="AH147" s="241">
        <f t="shared" si="134"/>
        <v>0.66313934426229515</v>
      </c>
      <c r="AI147" s="241">
        <f t="shared" si="134"/>
        <v>0.66313934426229515</v>
      </c>
      <c r="AJ147" s="241">
        <f t="shared" si="134"/>
        <v>0.66313934426229515</v>
      </c>
      <c r="AK147" s="241">
        <f t="shared" si="134"/>
        <v>0.66313934426229515</v>
      </c>
      <c r="AL147" s="241">
        <f t="shared" si="134"/>
        <v>0.66313934426229515</v>
      </c>
      <c r="AM147" s="241">
        <f t="shared" si="134"/>
        <v>0.66313934426229515</v>
      </c>
      <c r="AN147" s="241">
        <f t="shared" si="134"/>
        <v>0.66313934426229515</v>
      </c>
      <c r="AO147" s="241">
        <f t="shared" si="134"/>
        <v>0.66313934426229515</v>
      </c>
      <c r="AP147" s="241">
        <f t="shared" si="134"/>
        <v>0.66313934426229515</v>
      </c>
      <c r="AQ147" s="319">
        <f t="shared" si="134"/>
        <v>0.66313934426229515</v>
      </c>
    </row>
    <row r="148" spans="2:57" s="115" customFormat="1" x14ac:dyDescent="0.25">
      <c r="B148" s="247" t="s">
        <v>83</v>
      </c>
      <c r="C148" s="211">
        <f>ROUND(Kainos!J124,2)</f>
        <v>142.77000000000001</v>
      </c>
      <c r="D148" s="241">
        <f t="shared" ref="D148:AQ148" si="135">$C$148*D140</f>
        <v>39.04720491803279</v>
      </c>
      <c r="E148" s="241">
        <f t="shared" si="135"/>
        <v>39.04720491803279</v>
      </c>
      <c r="F148" s="241">
        <f t="shared" si="135"/>
        <v>39.476295081967223</v>
      </c>
      <c r="G148" s="318">
        <f t="shared" si="135"/>
        <v>39.476295081967223</v>
      </c>
      <c r="H148" s="241">
        <f t="shared" si="135"/>
        <v>15.115676229508196</v>
      </c>
      <c r="I148" s="241">
        <f t="shared" si="135"/>
        <v>14.140471311475411</v>
      </c>
      <c r="J148" s="241">
        <f t="shared" si="135"/>
        <v>15.115676229508196</v>
      </c>
      <c r="K148" s="241">
        <f t="shared" si="135"/>
        <v>14.628073770491802</v>
      </c>
      <c r="L148" s="241">
        <f t="shared" si="135"/>
        <v>15.115676229508196</v>
      </c>
      <c r="M148" s="241">
        <f t="shared" si="135"/>
        <v>14.628073770491802</v>
      </c>
      <c r="N148" s="241">
        <f t="shared" si="135"/>
        <v>15.115676229508196</v>
      </c>
      <c r="O148" s="241">
        <f t="shared" si="135"/>
        <v>15.115676229508196</v>
      </c>
      <c r="P148" s="241">
        <f t="shared" si="135"/>
        <v>14.628073770491802</v>
      </c>
      <c r="Q148" s="241">
        <f t="shared" si="135"/>
        <v>15.115676229508196</v>
      </c>
      <c r="R148" s="241">
        <f t="shared" si="135"/>
        <v>14.628073770491802</v>
      </c>
      <c r="S148" s="318">
        <f t="shared" si="135"/>
        <v>15.115676229508196</v>
      </c>
      <c r="T148" s="241">
        <f t="shared" si="135"/>
        <v>0.58512295081967225</v>
      </c>
      <c r="U148" s="241">
        <f t="shared" si="135"/>
        <v>0.58512295081967225</v>
      </c>
      <c r="V148" s="241">
        <f t="shared" si="135"/>
        <v>0.58512295081967225</v>
      </c>
      <c r="W148" s="241">
        <f t="shared" si="135"/>
        <v>0.58512295081967225</v>
      </c>
      <c r="X148" s="241">
        <f t="shared" si="135"/>
        <v>0.58512295081967225</v>
      </c>
      <c r="Y148" s="241">
        <f t="shared" si="135"/>
        <v>0.58512295081967225</v>
      </c>
      <c r="Z148" s="241">
        <f t="shared" si="135"/>
        <v>0.58512295081967225</v>
      </c>
      <c r="AA148" s="241">
        <f t="shared" si="135"/>
        <v>0.58512295081967225</v>
      </c>
      <c r="AB148" s="241">
        <f t="shared" si="135"/>
        <v>0.58512295081967225</v>
      </c>
      <c r="AC148" s="241">
        <f t="shared" si="135"/>
        <v>0.58512295081967225</v>
      </c>
      <c r="AD148" s="241">
        <f t="shared" si="135"/>
        <v>0.58512295081967225</v>
      </c>
      <c r="AE148" s="318">
        <f t="shared" si="135"/>
        <v>0.58512295081967225</v>
      </c>
      <c r="AF148" s="241">
        <f t="shared" si="135"/>
        <v>0.66313934426229515</v>
      </c>
      <c r="AG148" s="241">
        <f t="shared" si="135"/>
        <v>0.66313934426229515</v>
      </c>
      <c r="AH148" s="241">
        <f t="shared" si="135"/>
        <v>0.66313934426229515</v>
      </c>
      <c r="AI148" s="241">
        <f t="shared" si="135"/>
        <v>0.66313934426229515</v>
      </c>
      <c r="AJ148" s="241">
        <f t="shared" si="135"/>
        <v>0.66313934426229515</v>
      </c>
      <c r="AK148" s="241">
        <f t="shared" si="135"/>
        <v>0.66313934426229515</v>
      </c>
      <c r="AL148" s="241">
        <f t="shared" si="135"/>
        <v>0.66313934426229515</v>
      </c>
      <c r="AM148" s="241">
        <f t="shared" si="135"/>
        <v>0.66313934426229515</v>
      </c>
      <c r="AN148" s="241">
        <f t="shared" si="135"/>
        <v>0.66313934426229515</v>
      </c>
      <c r="AO148" s="241">
        <f t="shared" si="135"/>
        <v>0.66313934426229515</v>
      </c>
      <c r="AP148" s="241">
        <f t="shared" si="135"/>
        <v>0.66313934426229515</v>
      </c>
      <c r="AQ148" s="319">
        <f t="shared" si="135"/>
        <v>0.66313934426229515</v>
      </c>
    </row>
    <row r="149" spans="2:57" s="115" customFormat="1" x14ac:dyDescent="0.25">
      <c r="B149" s="247" t="s">
        <v>149</v>
      </c>
      <c r="C149" s="211">
        <f>ROUND(Kainos!J125,2)</f>
        <v>142.77000000000001</v>
      </c>
      <c r="D149" s="241">
        <f t="shared" ref="D149:AQ149" si="136">$C$149*D140</f>
        <v>39.04720491803279</v>
      </c>
      <c r="E149" s="241">
        <f t="shared" si="136"/>
        <v>39.04720491803279</v>
      </c>
      <c r="F149" s="241">
        <f t="shared" si="136"/>
        <v>39.476295081967223</v>
      </c>
      <c r="G149" s="318">
        <f t="shared" si="136"/>
        <v>39.476295081967223</v>
      </c>
      <c r="H149" s="241">
        <f t="shared" si="136"/>
        <v>15.115676229508196</v>
      </c>
      <c r="I149" s="241">
        <f t="shared" si="136"/>
        <v>14.140471311475411</v>
      </c>
      <c r="J149" s="241">
        <f t="shared" si="136"/>
        <v>15.115676229508196</v>
      </c>
      <c r="K149" s="241">
        <f t="shared" si="136"/>
        <v>14.628073770491802</v>
      </c>
      <c r="L149" s="241">
        <f t="shared" si="136"/>
        <v>15.115676229508196</v>
      </c>
      <c r="M149" s="241">
        <f t="shared" si="136"/>
        <v>14.628073770491802</v>
      </c>
      <c r="N149" s="241">
        <f t="shared" si="136"/>
        <v>15.115676229508196</v>
      </c>
      <c r="O149" s="241">
        <f t="shared" si="136"/>
        <v>15.115676229508196</v>
      </c>
      <c r="P149" s="241">
        <f t="shared" si="136"/>
        <v>14.628073770491802</v>
      </c>
      <c r="Q149" s="241">
        <f t="shared" si="136"/>
        <v>15.115676229508196</v>
      </c>
      <c r="R149" s="241">
        <f t="shared" si="136"/>
        <v>14.628073770491802</v>
      </c>
      <c r="S149" s="318">
        <f t="shared" si="136"/>
        <v>15.115676229508196</v>
      </c>
      <c r="T149" s="241">
        <f t="shared" si="136"/>
        <v>0.58512295081967225</v>
      </c>
      <c r="U149" s="241">
        <f t="shared" si="136"/>
        <v>0.58512295081967225</v>
      </c>
      <c r="V149" s="241">
        <f t="shared" si="136"/>
        <v>0.58512295081967225</v>
      </c>
      <c r="W149" s="241">
        <f t="shared" si="136"/>
        <v>0.58512295081967225</v>
      </c>
      <c r="X149" s="241">
        <f t="shared" si="136"/>
        <v>0.58512295081967225</v>
      </c>
      <c r="Y149" s="241">
        <f t="shared" si="136"/>
        <v>0.58512295081967225</v>
      </c>
      <c r="Z149" s="241">
        <f t="shared" si="136"/>
        <v>0.58512295081967225</v>
      </c>
      <c r="AA149" s="241">
        <f t="shared" si="136"/>
        <v>0.58512295081967225</v>
      </c>
      <c r="AB149" s="241">
        <f t="shared" si="136"/>
        <v>0.58512295081967225</v>
      </c>
      <c r="AC149" s="241">
        <f t="shared" si="136"/>
        <v>0.58512295081967225</v>
      </c>
      <c r="AD149" s="241">
        <f t="shared" si="136"/>
        <v>0.58512295081967225</v>
      </c>
      <c r="AE149" s="318">
        <f t="shared" si="136"/>
        <v>0.58512295081967225</v>
      </c>
      <c r="AF149" s="241">
        <f t="shared" si="136"/>
        <v>0.66313934426229515</v>
      </c>
      <c r="AG149" s="241">
        <f t="shared" si="136"/>
        <v>0.66313934426229515</v>
      </c>
      <c r="AH149" s="241">
        <f t="shared" si="136"/>
        <v>0.66313934426229515</v>
      </c>
      <c r="AI149" s="241">
        <f t="shared" si="136"/>
        <v>0.66313934426229515</v>
      </c>
      <c r="AJ149" s="241">
        <f t="shared" si="136"/>
        <v>0.66313934426229515</v>
      </c>
      <c r="AK149" s="241">
        <f t="shared" si="136"/>
        <v>0.66313934426229515</v>
      </c>
      <c r="AL149" s="241">
        <f t="shared" si="136"/>
        <v>0.66313934426229515</v>
      </c>
      <c r="AM149" s="241">
        <f t="shared" si="136"/>
        <v>0.66313934426229515</v>
      </c>
      <c r="AN149" s="241">
        <f t="shared" si="136"/>
        <v>0.66313934426229515</v>
      </c>
      <c r="AO149" s="241">
        <f t="shared" si="136"/>
        <v>0.66313934426229515</v>
      </c>
      <c r="AP149" s="241">
        <f t="shared" si="136"/>
        <v>0.66313934426229515</v>
      </c>
      <c r="AQ149" s="319">
        <f t="shared" si="136"/>
        <v>0.66313934426229515</v>
      </c>
    </row>
    <row r="150" spans="2:57" s="115" customFormat="1" x14ac:dyDescent="0.25">
      <c r="B150" s="247" t="s">
        <v>84</v>
      </c>
      <c r="C150" s="211">
        <f>ROUND(Kainos!J126,2)</f>
        <v>111.16</v>
      </c>
      <c r="D150" s="241">
        <f t="shared" ref="D150:AQ150" si="137">$C$150*D141</f>
        <v>30.401956284153005</v>
      </c>
      <c r="E150" s="241">
        <f t="shared" si="137"/>
        <v>30.401956284153005</v>
      </c>
      <c r="F150" s="241">
        <f t="shared" si="137"/>
        <v>30.736043715846996</v>
      </c>
      <c r="G150" s="318">
        <f t="shared" si="137"/>
        <v>30.736043715846996</v>
      </c>
      <c r="H150" s="241">
        <f t="shared" si="137"/>
        <v>11.76898907103825</v>
      </c>
      <c r="I150" s="241">
        <f t="shared" si="137"/>
        <v>11.009699453551912</v>
      </c>
      <c r="J150" s="241">
        <f t="shared" si="137"/>
        <v>11.76898907103825</v>
      </c>
      <c r="K150" s="241">
        <f t="shared" si="137"/>
        <v>11.389344262295081</v>
      </c>
      <c r="L150" s="241">
        <f t="shared" si="137"/>
        <v>11.76898907103825</v>
      </c>
      <c r="M150" s="241">
        <f t="shared" si="137"/>
        <v>11.389344262295081</v>
      </c>
      <c r="N150" s="241">
        <f t="shared" si="137"/>
        <v>11.76898907103825</v>
      </c>
      <c r="O150" s="241">
        <f t="shared" si="137"/>
        <v>11.76898907103825</v>
      </c>
      <c r="P150" s="241">
        <f t="shared" si="137"/>
        <v>11.389344262295081</v>
      </c>
      <c r="Q150" s="241">
        <f t="shared" si="137"/>
        <v>11.76898907103825</v>
      </c>
      <c r="R150" s="241">
        <f t="shared" si="137"/>
        <v>11.389344262295081</v>
      </c>
      <c r="S150" s="318">
        <f t="shared" si="137"/>
        <v>11.76898907103825</v>
      </c>
      <c r="T150" s="241">
        <f t="shared" si="137"/>
        <v>0.45557377049180331</v>
      </c>
      <c r="U150" s="241">
        <f t="shared" si="137"/>
        <v>0.45557377049180331</v>
      </c>
      <c r="V150" s="241">
        <f t="shared" si="137"/>
        <v>0.45557377049180331</v>
      </c>
      <c r="W150" s="241">
        <f t="shared" si="137"/>
        <v>0.45557377049180331</v>
      </c>
      <c r="X150" s="241">
        <f t="shared" si="137"/>
        <v>0.45557377049180331</v>
      </c>
      <c r="Y150" s="241">
        <f t="shared" si="137"/>
        <v>0.45557377049180331</v>
      </c>
      <c r="Z150" s="241">
        <f t="shared" si="137"/>
        <v>0.45557377049180331</v>
      </c>
      <c r="AA150" s="241">
        <f t="shared" si="137"/>
        <v>0.45557377049180331</v>
      </c>
      <c r="AB150" s="241">
        <f t="shared" si="137"/>
        <v>0.45557377049180331</v>
      </c>
      <c r="AC150" s="241">
        <f t="shared" si="137"/>
        <v>0.45557377049180331</v>
      </c>
      <c r="AD150" s="241">
        <f t="shared" si="137"/>
        <v>0.45557377049180331</v>
      </c>
      <c r="AE150" s="318">
        <f t="shared" si="137"/>
        <v>0.45557377049180331</v>
      </c>
      <c r="AF150" s="241">
        <f t="shared" si="137"/>
        <v>0.51631693989071037</v>
      </c>
      <c r="AG150" s="241">
        <f t="shared" si="137"/>
        <v>0.51631693989071037</v>
      </c>
      <c r="AH150" s="241">
        <f t="shared" si="137"/>
        <v>0.51631693989071037</v>
      </c>
      <c r="AI150" s="241">
        <f t="shared" si="137"/>
        <v>0.51631693989071037</v>
      </c>
      <c r="AJ150" s="241">
        <f t="shared" si="137"/>
        <v>0.51631693989071037</v>
      </c>
      <c r="AK150" s="241">
        <f t="shared" si="137"/>
        <v>0.51631693989071037</v>
      </c>
      <c r="AL150" s="241">
        <f t="shared" si="137"/>
        <v>0.51631693989071037</v>
      </c>
      <c r="AM150" s="241">
        <f t="shared" si="137"/>
        <v>0.51631693989071037</v>
      </c>
      <c r="AN150" s="241">
        <f t="shared" si="137"/>
        <v>0.51631693989071037</v>
      </c>
      <c r="AO150" s="241">
        <f t="shared" si="137"/>
        <v>0.51631693989071037</v>
      </c>
      <c r="AP150" s="241">
        <f t="shared" si="137"/>
        <v>0.51631693989071037</v>
      </c>
      <c r="AQ150" s="319">
        <f t="shared" si="137"/>
        <v>0.51631693989071037</v>
      </c>
    </row>
    <row r="151" spans="2:57" s="115" customFormat="1" x14ac:dyDescent="0.25">
      <c r="B151" s="247" t="s">
        <v>85</v>
      </c>
      <c r="C151" s="211">
        <f>ROUND(Kainos!J127,2)</f>
        <v>82.82</v>
      </c>
      <c r="D151" s="241">
        <f t="shared" ref="D151:AQ151" si="138">$C$151*D142</f>
        <v>38.60973360655737</v>
      </c>
      <c r="E151" s="241">
        <f t="shared" si="138"/>
        <v>18.017875683060105</v>
      </c>
      <c r="F151" s="241">
        <f t="shared" si="138"/>
        <v>12.751112021857923</v>
      </c>
      <c r="G151" s="318">
        <f t="shared" si="138"/>
        <v>34.089707650273226</v>
      </c>
      <c r="H151" s="241">
        <f t="shared" si="138"/>
        <v>18.203428688524589</v>
      </c>
      <c r="I151" s="241">
        <f t="shared" si="138"/>
        <v>13.386970491803279</v>
      </c>
      <c r="J151" s="241">
        <f t="shared" si="138"/>
        <v>14.625876229508195</v>
      </c>
      <c r="K151" s="241">
        <f t="shared" si="138"/>
        <v>9.0626803278688524</v>
      </c>
      <c r="L151" s="241">
        <f t="shared" si="138"/>
        <v>7.3655491803278679</v>
      </c>
      <c r="M151" s="241">
        <f t="shared" si="138"/>
        <v>5.3968770491803282</v>
      </c>
      <c r="N151" s="241">
        <f t="shared" si="138"/>
        <v>4.5245516393442626</v>
      </c>
      <c r="O151" s="241">
        <f t="shared" si="138"/>
        <v>5.0506622950819668</v>
      </c>
      <c r="P151" s="241">
        <f t="shared" si="138"/>
        <v>5.7023606557377047</v>
      </c>
      <c r="Q151" s="241">
        <f t="shared" si="138"/>
        <v>10.311768852459014</v>
      </c>
      <c r="R151" s="241">
        <f t="shared" si="138"/>
        <v>13.033967213114755</v>
      </c>
      <c r="S151" s="318">
        <f t="shared" si="138"/>
        <v>17.466873770491802</v>
      </c>
      <c r="T151" s="241">
        <f t="shared" si="138"/>
        <v>1.1744147540983607</v>
      </c>
      <c r="U151" s="241">
        <f t="shared" si="138"/>
        <v>0.92323934426229504</v>
      </c>
      <c r="V151" s="241">
        <f t="shared" si="138"/>
        <v>0.94360491803278679</v>
      </c>
      <c r="W151" s="241">
        <f t="shared" si="138"/>
        <v>0.60417868852459011</v>
      </c>
      <c r="X151" s="241">
        <f t="shared" si="138"/>
        <v>0.47519672131147533</v>
      </c>
      <c r="Y151" s="241">
        <f t="shared" si="138"/>
        <v>0.35979180327868848</v>
      </c>
      <c r="Z151" s="241">
        <f t="shared" si="138"/>
        <v>0.29190655737704918</v>
      </c>
      <c r="AA151" s="241">
        <f t="shared" si="138"/>
        <v>0.3258491803278688</v>
      </c>
      <c r="AB151" s="241">
        <f t="shared" si="138"/>
        <v>0.38015737704918035</v>
      </c>
      <c r="AC151" s="241">
        <f t="shared" si="138"/>
        <v>0.66527540983606559</v>
      </c>
      <c r="AD151" s="241">
        <f t="shared" si="138"/>
        <v>0.86893114754098355</v>
      </c>
      <c r="AE151" s="318">
        <f t="shared" si="138"/>
        <v>1.126895081967213</v>
      </c>
      <c r="AF151" s="241">
        <f t="shared" si="138"/>
        <v>1.1744147540983607</v>
      </c>
      <c r="AG151" s="241">
        <f t="shared" si="138"/>
        <v>0.92323934426229504</v>
      </c>
      <c r="AH151" s="241">
        <f t="shared" si="138"/>
        <v>0.94360491803278679</v>
      </c>
      <c r="AI151" s="241">
        <f t="shared" si="138"/>
        <v>0.60417868852459011</v>
      </c>
      <c r="AJ151" s="241">
        <f t="shared" si="138"/>
        <v>0.47519672131147533</v>
      </c>
      <c r="AK151" s="241">
        <f t="shared" si="138"/>
        <v>0.35979180327868848</v>
      </c>
      <c r="AL151" s="241">
        <f t="shared" si="138"/>
        <v>0.29190655737704918</v>
      </c>
      <c r="AM151" s="241">
        <f t="shared" si="138"/>
        <v>0.3258491803278688</v>
      </c>
      <c r="AN151" s="241">
        <f t="shared" si="138"/>
        <v>0.38015737704918035</v>
      </c>
      <c r="AO151" s="241">
        <f t="shared" si="138"/>
        <v>0.66527540983606559</v>
      </c>
      <c r="AP151" s="241">
        <f t="shared" si="138"/>
        <v>0.86893114754098355</v>
      </c>
      <c r="AQ151" s="319">
        <f t="shared" si="138"/>
        <v>1.126895081967213</v>
      </c>
    </row>
    <row r="152" spans="2:57" s="115" customFormat="1" x14ac:dyDescent="0.25">
      <c r="B152" s="247" t="s">
        <v>137</v>
      </c>
      <c r="C152" s="211">
        <f>ROUND(Kainos!J128,2)</f>
        <v>111.16</v>
      </c>
      <c r="D152" s="241">
        <f t="shared" ref="D152:AQ152" si="139">$C$152*D141</f>
        <v>30.401956284153005</v>
      </c>
      <c r="E152" s="241">
        <f t="shared" si="139"/>
        <v>30.401956284153005</v>
      </c>
      <c r="F152" s="241">
        <f t="shared" si="139"/>
        <v>30.736043715846996</v>
      </c>
      <c r="G152" s="318">
        <f t="shared" si="139"/>
        <v>30.736043715846996</v>
      </c>
      <c r="H152" s="241">
        <f t="shared" si="139"/>
        <v>11.76898907103825</v>
      </c>
      <c r="I152" s="241">
        <f t="shared" si="139"/>
        <v>11.009699453551912</v>
      </c>
      <c r="J152" s="241">
        <f t="shared" si="139"/>
        <v>11.76898907103825</v>
      </c>
      <c r="K152" s="241">
        <f t="shared" si="139"/>
        <v>11.389344262295081</v>
      </c>
      <c r="L152" s="241">
        <f t="shared" si="139"/>
        <v>11.76898907103825</v>
      </c>
      <c r="M152" s="241">
        <f t="shared" si="139"/>
        <v>11.389344262295081</v>
      </c>
      <c r="N152" s="241">
        <f t="shared" si="139"/>
        <v>11.76898907103825</v>
      </c>
      <c r="O152" s="241">
        <f t="shared" si="139"/>
        <v>11.76898907103825</v>
      </c>
      <c r="P152" s="241">
        <f t="shared" si="139"/>
        <v>11.389344262295081</v>
      </c>
      <c r="Q152" s="241">
        <f t="shared" si="139"/>
        <v>11.76898907103825</v>
      </c>
      <c r="R152" s="241">
        <f t="shared" si="139"/>
        <v>11.389344262295081</v>
      </c>
      <c r="S152" s="318">
        <f t="shared" si="139"/>
        <v>11.76898907103825</v>
      </c>
      <c r="T152" s="241">
        <f t="shared" si="139"/>
        <v>0.45557377049180331</v>
      </c>
      <c r="U152" s="241">
        <f t="shared" si="139"/>
        <v>0.45557377049180331</v>
      </c>
      <c r="V152" s="241">
        <f t="shared" si="139"/>
        <v>0.45557377049180331</v>
      </c>
      <c r="W152" s="241">
        <f t="shared" si="139"/>
        <v>0.45557377049180331</v>
      </c>
      <c r="X152" s="241">
        <f t="shared" si="139"/>
        <v>0.45557377049180331</v>
      </c>
      <c r="Y152" s="241">
        <f t="shared" si="139"/>
        <v>0.45557377049180331</v>
      </c>
      <c r="Z152" s="241">
        <f t="shared" si="139"/>
        <v>0.45557377049180331</v>
      </c>
      <c r="AA152" s="241">
        <f t="shared" si="139"/>
        <v>0.45557377049180331</v>
      </c>
      <c r="AB152" s="241">
        <f t="shared" si="139"/>
        <v>0.45557377049180331</v>
      </c>
      <c r="AC152" s="241">
        <f t="shared" si="139"/>
        <v>0.45557377049180331</v>
      </c>
      <c r="AD152" s="241">
        <f t="shared" si="139"/>
        <v>0.45557377049180331</v>
      </c>
      <c r="AE152" s="318">
        <f t="shared" si="139"/>
        <v>0.45557377049180331</v>
      </c>
      <c r="AF152" s="241">
        <f t="shared" si="139"/>
        <v>0.51631693989071037</v>
      </c>
      <c r="AG152" s="241">
        <f t="shared" si="139"/>
        <v>0.51631693989071037</v>
      </c>
      <c r="AH152" s="241">
        <f t="shared" si="139"/>
        <v>0.51631693989071037</v>
      </c>
      <c r="AI152" s="241">
        <f t="shared" si="139"/>
        <v>0.51631693989071037</v>
      </c>
      <c r="AJ152" s="241">
        <f t="shared" si="139"/>
        <v>0.51631693989071037</v>
      </c>
      <c r="AK152" s="241">
        <f t="shared" si="139"/>
        <v>0.51631693989071037</v>
      </c>
      <c r="AL152" s="241">
        <f t="shared" si="139"/>
        <v>0.51631693989071037</v>
      </c>
      <c r="AM152" s="241">
        <f t="shared" si="139"/>
        <v>0.51631693989071037</v>
      </c>
      <c r="AN152" s="241">
        <f t="shared" si="139"/>
        <v>0.51631693989071037</v>
      </c>
      <c r="AO152" s="241">
        <f t="shared" si="139"/>
        <v>0.51631693989071037</v>
      </c>
      <c r="AP152" s="241">
        <f t="shared" si="139"/>
        <v>0.51631693989071037</v>
      </c>
      <c r="AQ152" s="319">
        <f t="shared" si="139"/>
        <v>0.51631693989071037</v>
      </c>
    </row>
    <row r="153" spans="2:57" s="115" customFormat="1" x14ac:dyDescent="0.25">
      <c r="B153" s="247" t="s">
        <v>86</v>
      </c>
      <c r="C153" s="211">
        <f>ROUND(Kainos!J132,2)</f>
        <v>199.8</v>
      </c>
      <c r="D153" s="241">
        <f t="shared" ref="D153:AQ153" si="140">$C$153*D143</f>
        <v>93.144467213114751</v>
      </c>
      <c r="E153" s="241">
        <f t="shared" si="140"/>
        <v>43.467418032786881</v>
      </c>
      <c r="F153" s="241">
        <f t="shared" si="140"/>
        <v>30.761557377049183</v>
      </c>
      <c r="G153" s="318">
        <f t="shared" si="140"/>
        <v>82.240081967213129</v>
      </c>
      <c r="H153" s="241">
        <f t="shared" si="140"/>
        <v>43.91505737704918</v>
      </c>
      <c r="I153" s="241">
        <f t="shared" si="140"/>
        <v>32.295540983606564</v>
      </c>
      <c r="J153" s="241">
        <f t="shared" si="140"/>
        <v>35.284352459016397</v>
      </c>
      <c r="K153" s="241">
        <f t="shared" si="140"/>
        <v>21.863360655737704</v>
      </c>
      <c r="L153" s="241">
        <f t="shared" si="140"/>
        <v>17.769098360655736</v>
      </c>
      <c r="M153" s="241">
        <f t="shared" si="140"/>
        <v>13.019754098360659</v>
      </c>
      <c r="N153" s="241">
        <f t="shared" si="140"/>
        <v>10.915303278688526</v>
      </c>
      <c r="O153" s="241">
        <f t="shared" si="140"/>
        <v>12.184524590163935</v>
      </c>
      <c r="P153" s="241">
        <f t="shared" si="140"/>
        <v>13.756721311475411</v>
      </c>
      <c r="Q153" s="241">
        <f t="shared" si="140"/>
        <v>24.876737704918032</v>
      </c>
      <c r="R153" s="241">
        <f t="shared" si="140"/>
        <v>31.443934426229514</v>
      </c>
      <c r="S153" s="318">
        <f t="shared" si="140"/>
        <v>42.13814754098361</v>
      </c>
      <c r="T153" s="241">
        <f t="shared" si="140"/>
        <v>2.8332295081967218</v>
      </c>
      <c r="U153" s="241">
        <f t="shared" si="140"/>
        <v>2.2272786885245903</v>
      </c>
      <c r="V153" s="241">
        <f t="shared" si="140"/>
        <v>2.2764098360655738</v>
      </c>
      <c r="W153" s="241">
        <f t="shared" si="140"/>
        <v>1.4575573770491805</v>
      </c>
      <c r="X153" s="241">
        <f t="shared" si="140"/>
        <v>1.1463934426229507</v>
      </c>
      <c r="Y153" s="241">
        <f t="shared" si="140"/>
        <v>0.86798360655737716</v>
      </c>
      <c r="Z153" s="241">
        <f t="shared" si="140"/>
        <v>0.70421311475409842</v>
      </c>
      <c r="AA153" s="241">
        <f t="shared" si="140"/>
        <v>0.78609836065573779</v>
      </c>
      <c r="AB153" s="241">
        <f t="shared" si="140"/>
        <v>0.91711475409836085</v>
      </c>
      <c r="AC153" s="241">
        <f t="shared" si="140"/>
        <v>1.6049508196721314</v>
      </c>
      <c r="AD153" s="241">
        <f t="shared" si="140"/>
        <v>2.0962622950819672</v>
      </c>
      <c r="AE153" s="318">
        <f t="shared" si="140"/>
        <v>2.7185901639344263</v>
      </c>
      <c r="AF153" s="241">
        <f t="shared" si="140"/>
        <v>2.8332295081967218</v>
      </c>
      <c r="AG153" s="241">
        <f t="shared" si="140"/>
        <v>2.2272786885245903</v>
      </c>
      <c r="AH153" s="241">
        <f t="shared" si="140"/>
        <v>2.2764098360655738</v>
      </c>
      <c r="AI153" s="241">
        <f t="shared" si="140"/>
        <v>1.4575573770491805</v>
      </c>
      <c r="AJ153" s="241">
        <f t="shared" si="140"/>
        <v>1.1463934426229507</v>
      </c>
      <c r="AK153" s="241">
        <f t="shared" si="140"/>
        <v>0.86798360655737716</v>
      </c>
      <c r="AL153" s="241">
        <f t="shared" si="140"/>
        <v>0.70421311475409842</v>
      </c>
      <c r="AM153" s="241">
        <f t="shared" si="140"/>
        <v>0.78609836065573779</v>
      </c>
      <c r="AN153" s="241">
        <f t="shared" si="140"/>
        <v>0.91711475409836085</v>
      </c>
      <c r="AO153" s="241">
        <f t="shared" si="140"/>
        <v>1.6049508196721314</v>
      </c>
      <c r="AP153" s="241">
        <f t="shared" si="140"/>
        <v>2.0962622950819672</v>
      </c>
      <c r="AQ153" s="319">
        <f t="shared" si="140"/>
        <v>2.7185901639344263</v>
      </c>
    </row>
    <row r="154" spans="2:57" s="115" customFormat="1" ht="15.75" thickBot="1" x14ac:dyDescent="0.3">
      <c r="B154" s="248" t="s">
        <v>147</v>
      </c>
      <c r="C154" s="260">
        <f>ROUND(Kainos!J133,2)</f>
        <v>117.31</v>
      </c>
      <c r="D154" s="320">
        <f>$C$154*D143</f>
        <v>54.688575819672131</v>
      </c>
      <c r="E154" s="320">
        <f t="shared" ref="E154:AQ154" si="141">$C$154*E143</f>
        <v>25.521335382513659</v>
      </c>
      <c r="F154" s="320">
        <f t="shared" si="141"/>
        <v>18.06125273224044</v>
      </c>
      <c r="G154" s="321">
        <f t="shared" si="141"/>
        <v>48.28620628415301</v>
      </c>
      <c r="H154" s="320">
        <f t="shared" si="141"/>
        <v>25.784161065573773</v>
      </c>
      <c r="I154" s="320">
        <f t="shared" si="141"/>
        <v>18.961911475409838</v>
      </c>
      <c r="J154" s="320">
        <f t="shared" si="141"/>
        <v>20.716753688524591</v>
      </c>
      <c r="K154" s="320">
        <f t="shared" si="141"/>
        <v>12.836790983606557</v>
      </c>
      <c r="L154" s="320">
        <f t="shared" si="141"/>
        <v>10.432897540983605</v>
      </c>
      <c r="M154" s="320">
        <f t="shared" si="141"/>
        <v>7.6443811475409849</v>
      </c>
      <c r="N154" s="320">
        <f t="shared" si="141"/>
        <v>6.4087799180327876</v>
      </c>
      <c r="O154" s="320">
        <f t="shared" si="141"/>
        <v>7.1539868852459021</v>
      </c>
      <c r="P154" s="320">
        <f t="shared" si="141"/>
        <v>8.0770819672131147</v>
      </c>
      <c r="Q154" s="320">
        <f t="shared" si="141"/>
        <v>14.606056557377048</v>
      </c>
      <c r="R154" s="320">
        <f t="shared" si="141"/>
        <v>18.461901639344266</v>
      </c>
      <c r="S154" s="321">
        <f t="shared" si="141"/>
        <v>24.740871311475409</v>
      </c>
      <c r="T154" s="320">
        <f t="shared" si="141"/>
        <v>1.6634942622950821</v>
      </c>
      <c r="U154" s="320">
        <f t="shared" si="141"/>
        <v>1.3077180327868854</v>
      </c>
      <c r="V154" s="320">
        <f t="shared" si="141"/>
        <v>1.3365647540983607</v>
      </c>
      <c r="W154" s="320">
        <f t="shared" si="141"/>
        <v>0.85578606557377057</v>
      </c>
      <c r="X154" s="320">
        <f t="shared" si="141"/>
        <v>0.67309016393442622</v>
      </c>
      <c r="Y154" s="320">
        <f t="shared" si="141"/>
        <v>0.50962540983606563</v>
      </c>
      <c r="Z154" s="320">
        <f t="shared" si="141"/>
        <v>0.4134696721311476</v>
      </c>
      <c r="AA154" s="320">
        <f t="shared" si="141"/>
        <v>0.46154754098360656</v>
      </c>
      <c r="AB154" s="320">
        <f t="shared" si="141"/>
        <v>0.53847213114754111</v>
      </c>
      <c r="AC154" s="320">
        <f t="shared" si="141"/>
        <v>0.94232622950819689</v>
      </c>
      <c r="AD154" s="320">
        <f t="shared" si="141"/>
        <v>1.2307934426229508</v>
      </c>
      <c r="AE154" s="321">
        <f t="shared" si="141"/>
        <v>1.5961852459016392</v>
      </c>
      <c r="AF154" s="320">
        <f t="shared" si="141"/>
        <v>1.6634942622950821</v>
      </c>
      <c r="AG154" s="320">
        <f t="shared" si="141"/>
        <v>1.3077180327868854</v>
      </c>
      <c r="AH154" s="320">
        <f t="shared" si="141"/>
        <v>1.3365647540983607</v>
      </c>
      <c r="AI154" s="320">
        <f t="shared" si="141"/>
        <v>0.85578606557377057</v>
      </c>
      <c r="AJ154" s="320">
        <f t="shared" si="141"/>
        <v>0.67309016393442622</v>
      </c>
      <c r="AK154" s="320">
        <f t="shared" si="141"/>
        <v>0.50962540983606563</v>
      </c>
      <c r="AL154" s="320">
        <f t="shared" si="141"/>
        <v>0.4134696721311476</v>
      </c>
      <c r="AM154" s="320">
        <f t="shared" si="141"/>
        <v>0.46154754098360656</v>
      </c>
      <c r="AN154" s="320">
        <f t="shared" si="141"/>
        <v>0.53847213114754111</v>
      </c>
      <c r="AO154" s="320">
        <f t="shared" si="141"/>
        <v>0.94232622950819689</v>
      </c>
      <c r="AP154" s="320">
        <f t="shared" si="141"/>
        <v>1.2307934426229508</v>
      </c>
      <c r="AQ154" s="322">
        <f t="shared" si="141"/>
        <v>1.5961852459016392</v>
      </c>
    </row>
    <row r="155" spans="2:57" s="115" customFormat="1" x14ac:dyDescent="0.25">
      <c r="B155" s="120"/>
    </row>
    <row r="156" spans="2:57" s="115" customFormat="1" x14ac:dyDescent="0.25">
      <c r="F156" s="94"/>
      <c r="G156" s="94"/>
      <c r="H156" s="94"/>
      <c r="I156" s="94"/>
      <c r="J156" s="94"/>
      <c r="K156" s="94"/>
      <c r="AR156"/>
      <c r="AS156"/>
      <c r="AT156"/>
      <c r="AU156"/>
      <c r="AV156"/>
      <c r="AW156"/>
      <c r="AX156"/>
      <c r="AY156"/>
      <c r="AZ156"/>
      <c r="BA156"/>
      <c r="BB156"/>
      <c r="BC156"/>
      <c r="BD156"/>
      <c r="BE156"/>
    </row>
    <row r="157" spans="2:57" s="115" customFormat="1" x14ac:dyDescent="0.25">
      <c r="AR157"/>
      <c r="AS157"/>
      <c r="AT157"/>
      <c r="AU157"/>
      <c r="AV157"/>
      <c r="AW157"/>
      <c r="AX157"/>
      <c r="AY157"/>
      <c r="AZ157"/>
      <c r="BA157"/>
      <c r="BB157"/>
      <c r="BC157"/>
      <c r="BD157"/>
      <c r="BE157"/>
    </row>
    <row r="158" spans="2:57" x14ac:dyDescent="0.25">
      <c r="D158" s="115"/>
      <c r="E158" s="115"/>
      <c r="F158" s="115"/>
      <c r="G158" s="115"/>
      <c r="H158" s="115"/>
      <c r="I158" s="115"/>
      <c r="J158" s="115"/>
      <c r="K158" s="115"/>
      <c r="L158" s="115"/>
      <c r="M158" s="115"/>
      <c r="N158" s="115"/>
      <c r="O158" s="115"/>
      <c r="P158" s="115"/>
      <c r="Q158" s="115"/>
      <c r="R158" s="115"/>
      <c r="S158" s="115"/>
      <c r="T158" s="147"/>
      <c r="U158" s="115"/>
      <c r="V158" s="115"/>
      <c r="W158" s="115"/>
      <c r="X158" s="115"/>
      <c r="Y158" s="115"/>
      <c r="Z158" s="115"/>
      <c r="AA158" s="115"/>
      <c r="AB158" s="115"/>
      <c r="AC158" s="115"/>
      <c r="AD158" s="115"/>
      <c r="AE158" s="115"/>
      <c r="AF158" s="115"/>
      <c r="AG158" s="115"/>
      <c r="AH158" s="115"/>
      <c r="AI158" s="115"/>
      <c r="AJ158" s="115"/>
      <c r="AK158" s="115"/>
      <c r="AL158" s="115"/>
      <c r="AM158" s="115"/>
      <c r="AN158" s="115"/>
      <c r="AO158" s="115"/>
      <c r="AP158" s="115"/>
      <c r="AQ158" s="115"/>
    </row>
    <row r="159" spans="2:57" x14ac:dyDescent="0.25">
      <c r="D159" s="115"/>
      <c r="E159" s="115"/>
      <c r="F159" s="115"/>
      <c r="G159" s="115"/>
      <c r="H159" s="115"/>
      <c r="I159" s="115"/>
      <c r="J159" s="115"/>
      <c r="K159" s="115"/>
      <c r="L159" s="115"/>
      <c r="M159" s="115"/>
      <c r="N159" s="115"/>
      <c r="O159" s="115"/>
      <c r="P159" s="115"/>
      <c r="Q159" s="115"/>
      <c r="R159" s="115"/>
      <c r="S159" s="115"/>
      <c r="T159" s="115"/>
      <c r="U159" s="115"/>
      <c r="V159" s="43"/>
      <c r="W159" s="115"/>
      <c r="X159" s="115"/>
      <c r="Y159" s="115"/>
      <c r="Z159" s="115"/>
      <c r="AA159" s="115"/>
      <c r="AB159" s="115"/>
      <c r="AC159" s="115"/>
      <c r="AD159" s="115"/>
      <c r="AE159" s="115"/>
      <c r="AF159" s="115"/>
      <c r="AG159" s="115"/>
      <c r="AH159" s="115"/>
      <c r="AI159" s="115"/>
      <c r="AJ159" s="115"/>
      <c r="AK159" s="115"/>
      <c r="AL159" s="115"/>
      <c r="AM159" s="115"/>
      <c r="AN159" s="115"/>
      <c r="AO159" s="115"/>
      <c r="AP159" s="115"/>
      <c r="AQ159" s="115"/>
    </row>
    <row r="160" spans="2:57" x14ac:dyDescent="0.25">
      <c r="D160" s="115"/>
      <c r="E160" s="115"/>
      <c r="F160" s="115"/>
      <c r="G160" s="115"/>
      <c r="H160" s="115"/>
      <c r="I160" s="115"/>
      <c r="J160" s="115"/>
      <c r="K160" s="115"/>
      <c r="L160" s="115"/>
      <c r="M160" s="115"/>
      <c r="N160" s="115"/>
      <c r="O160" s="115"/>
      <c r="P160" s="115"/>
      <c r="Q160" s="115"/>
      <c r="R160" s="115"/>
      <c r="S160" s="115"/>
      <c r="T160" s="146"/>
      <c r="U160" s="115"/>
      <c r="V160" s="43"/>
      <c r="W160" s="115"/>
      <c r="X160" s="145"/>
      <c r="Y160" s="115"/>
      <c r="Z160" s="115"/>
      <c r="AA160" s="115"/>
      <c r="AB160" s="115"/>
      <c r="AC160" s="115"/>
      <c r="AD160" s="115"/>
      <c r="AE160" s="115"/>
      <c r="AF160" s="115"/>
      <c r="AG160" s="115"/>
      <c r="AH160" s="115"/>
      <c r="AI160" s="115"/>
      <c r="AJ160" s="115"/>
      <c r="AK160" s="115"/>
      <c r="AL160" s="115"/>
      <c r="AM160" s="115"/>
      <c r="AN160" s="115"/>
      <c r="AO160" s="115"/>
      <c r="AP160" s="115"/>
      <c r="AQ160" s="115"/>
    </row>
    <row r="161" spans="3:22" x14ac:dyDescent="0.25">
      <c r="D161" s="115"/>
    </row>
    <row r="162" spans="3:22" x14ac:dyDescent="0.25">
      <c r="T162" s="43"/>
      <c r="U162" s="43"/>
    </row>
    <row r="163" spans="3:22" x14ac:dyDescent="0.25">
      <c r="U163" s="43"/>
    </row>
    <row r="164" spans="3:22" x14ac:dyDescent="0.25">
      <c r="U164" s="123"/>
    </row>
    <row r="167" spans="3:22" x14ac:dyDescent="0.25">
      <c r="C167" s="115"/>
    </row>
    <row r="168" spans="3:22" x14ac:dyDescent="0.25">
      <c r="C168" s="115"/>
      <c r="V168" s="144"/>
    </row>
  </sheetData>
  <mergeCells count="58">
    <mergeCell ref="B137:AQ137"/>
    <mergeCell ref="C138:C143"/>
    <mergeCell ref="D138:G138"/>
    <mergeCell ref="H138:S138"/>
    <mergeCell ref="T138:AE138"/>
    <mergeCell ref="AF138:AQ138"/>
    <mergeCell ref="B119:AQ119"/>
    <mergeCell ref="C120:C125"/>
    <mergeCell ref="D120:G120"/>
    <mergeCell ref="H120:S120"/>
    <mergeCell ref="T120:AE120"/>
    <mergeCell ref="AF120:AQ120"/>
    <mergeCell ref="B101:AQ101"/>
    <mergeCell ref="C102:C107"/>
    <mergeCell ref="D102:G102"/>
    <mergeCell ref="H102:S102"/>
    <mergeCell ref="T102:AE102"/>
    <mergeCell ref="AF102:AQ102"/>
    <mergeCell ref="B83:AQ83"/>
    <mergeCell ref="C84:C89"/>
    <mergeCell ref="D84:G84"/>
    <mergeCell ref="H84:S84"/>
    <mergeCell ref="T84:AE84"/>
    <mergeCell ref="AF84:AQ84"/>
    <mergeCell ref="B66:AQ66"/>
    <mergeCell ref="C67:C72"/>
    <mergeCell ref="D67:G67"/>
    <mergeCell ref="H67:S67"/>
    <mergeCell ref="T67:AE67"/>
    <mergeCell ref="AF67:AQ67"/>
    <mergeCell ref="U9:X9"/>
    <mergeCell ref="Y9:AJ9"/>
    <mergeCell ref="B8:AJ8"/>
    <mergeCell ref="H9:S9"/>
    <mergeCell ref="D9:G9"/>
    <mergeCell ref="B6:S6"/>
    <mergeCell ref="B9:B10"/>
    <mergeCell ref="C19:C20"/>
    <mergeCell ref="C30:C31"/>
    <mergeCell ref="H19:K19"/>
    <mergeCell ref="L19:N19"/>
    <mergeCell ref="D19:G19"/>
    <mergeCell ref="D30:G30"/>
    <mergeCell ref="H30:S30"/>
    <mergeCell ref="B19:B20"/>
    <mergeCell ref="B30:B31"/>
    <mergeCell ref="B40:B41"/>
    <mergeCell ref="T30:AE30"/>
    <mergeCell ref="B49:AQ49"/>
    <mergeCell ref="C50:C55"/>
    <mergeCell ref="D50:G50"/>
    <mergeCell ref="H50:S50"/>
    <mergeCell ref="T50:AE50"/>
    <mergeCell ref="AF50:AQ50"/>
    <mergeCell ref="T40:AE40"/>
    <mergeCell ref="D40:G40"/>
    <mergeCell ref="H40:S40"/>
    <mergeCell ref="C40:C41"/>
  </mergeCells>
  <phoneticPr fontId="42" type="noConversion"/>
  <pageMargins left="0.7" right="0.7" top="0.75" bottom="0.75" header="0.3" footer="0.3"/>
  <pageSetup paperSize="9" scale="36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1:AN66"/>
  <sheetViews>
    <sheetView showGridLines="0" topLeftCell="A6" zoomScale="70" zoomScaleNormal="70" workbookViewId="0">
      <selection activeCell="B4" sqref="B4"/>
    </sheetView>
  </sheetViews>
  <sheetFormatPr defaultRowHeight="15" x14ac:dyDescent="0.25"/>
  <cols>
    <col min="1" max="1" width="2.140625" customWidth="1"/>
    <col min="2" max="2" width="40.7109375" customWidth="1"/>
    <col min="3" max="15" width="16.42578125" customWidth="1"/>
    <col min="16" max="30" width="6.7109375" customWidth="1"/>
  </cols>
  <sheetData>
    <row r="1" spans="2:40" ht="25.15" customHeight="1" x14ac:dyDescent="0.25">
      <c r="B1" s="99" t="s">
        <v>177</v>
      </c>
      <c r="C1" s="45"/>
      <c r="D1" s="45"/>
      <c r="E1" s="45"/>
      <c r="F1" s="45"/>
      <c r="G1" s="45"/>
      <c r="H1" s="45"/>
      <c r="I1" s="45"/>
      <c r="J1" s="45"/>
      <c r="K1" s="45"/>
      <c r="L1" s="45"/>
      <c r="M1" s="45"/>
      <c r="N1" s="45"/>
      <c r="O1" s="45"/>
      <c r="P1" s="45"/>
      <c r="Q1" s="45"/>
      <c r="R1" s="45"/>
      <c r="S1" s="45"/>
      <c r="T1" s="45"/>
      <c r="U1" s="45"/>
    </row>
    <row r="2" spans="2:40" ht="15.75" x14ac:dyDescent="0.25">
      <c r="B2" s="101" t="s">
        <v>10</v>
      </c>
      <c r="C2" s="15"/>
      <c r="D2" s="15"/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5"/>
      <c r="S2" s="15"/>
      <c r="T2" s="15"/>
      <c r="U2" s="15"/>
      <c r="V2" s="44"/>
    </row>
    <row r="3" spans="2:40" ht="14.45" customHeight="1" x14ac:dyDescent="0.25">
      <c r="B3" s="102" t="s">
        <v>200</v>
      </c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18"/>
      <c r="T3" s="18"/>
      <c r="U3" s="18"/>
      <c r="V3" s="18"/>
    </row>
    <row r="4" spans="2:40" x14ac:dyDescent="0.25">
      <c r="B4" s="229" t="s">
        <v>172</v>
      </c>
      <c r="C4" s="3"/>
      <c r="D4" s="3"/>
      <c r="E4" s="3"/>
      <c r="F4" s="3"/>
    </row>
    <row r="5" spans="2:40" x14ac:dyDescent="0.25">
      <c r="B5" s="6"/>
      <c r="C5" s="3"/>
      <c r="D5" s="3"/>
      <c r="E5" s="3"/>
      <c r="F5" s="3"/>
    </row>
    <row r="6" spans="2:40" ht="41.45" customHeight="1" x14ac:dyDescent="0.25">
      <c r="B6" s="355" t="s">
        <v>11</v>
      </c>
      <c r="C6" s="355"/>
      <c r="D6" s="355"/>
      <c r="E6" s="355"/>
      <c r="F6" s="355"/>
      <c r="G6" s="355"/>
      <c r="H6" s="355"/>
      <c r="I6" s="355"/>
      <c r="J6" s="355"/>
      <c r="K6" s="355"/>
      <c r="L6" s="355"/>
      <c r="M6" s="355"/>
      <c r="N6" s="355"/>
      <c r="O6" s="355"/>
      <c r="P6" s="57"/>
      <c r="Q6" s="57"/>
      <c r="R6" s="57"/>
      <c r="W6" s="5"/>
    </row>
    <row r="7" spans="2:40" ht="14.45" customHeight="1" x14ac:dyDescent="0.25">
      <c r="B7" s="356"/>
      <c r="C7" s="354" t="s">
        <v>12</v>
      </c>
      <c r="D7" s="354"/>
      <c r="E7" s="354"/>
      <c r="F7" s="354"/>
      <c r="G7" s="354"/>
      <c r="H7" s="354"/>
      <c r="I7" s="354"/>
      <c r="J7" s="354"/>
      <c r="K7" s="354"/>
      <c r="L7" s="354"/>
      <c r="M7" s="354"/>
      <c r="N7" s="354"/>
      <c r="O7" s="354"/>
      <c r="P7" s="52"/>
      <c r="Q7" s="52"/>
      <c r="R7" s="52"/>
      <c r="S7" s="48"/>
      <c r="T7" s="48"/>
      <c r="U7" s="48"/>
      <c r="V7" s="48"/>
      <c r="W7" s="5"/>
    </row>
    <row r="8" spans="2:40" x14ac:dyDescent="0.25">
      <c r="B8" s="356"/>
      <c r="C8" s="208" t="s">
        <v>13</v>
      </c>
      <c r="D8" s="208" t="s">
        <v>14</v>
      </c>
      <c r="E8" s="208" t="s">
        <v>15</v>
      </c>
      <c r="F8" s="208" t="s">
        <v>16</v>
      </c>
      <c r="G8" s="208" t="s">
        <v>17</v>
      </c>
      <c r="H8" s="208" t="s">
        <v>18</v>
      </c>
      <c r="I8" s="208" t="s">
        <v>19</v>
      </c>
      <c r="J8" s="208" t="s">
        <v>20</v>
      </c>
      <c r="K8" s="208" t="s">
        <v>21</v>
      </c>
      <c r="L8" s="208" t="s">
        <v>22</v>
      </c>
      <c r="M8" s="208" t="s">
        <v>23</v>
      </c>
      <c r="N8" s="208" t="s">
        <v>24</v>
      </c>
      <c r="O8" s="208" t="s">
        <v>5</v>
      </c>
      <c r="P8" s="58"/>
      <c r="Q8" s="58"/>
      <c r="R8" s="58"/>
      <c r="S8" s="19"/>
      <c r="T8" s="19"/>
      <c r="U8" s="19"/>
      <c r="V8" s="19"/>
    </row>
    <row r="9" spans="2:40" ht="38.25" x14ac:dyDescent="0.25">
      <c r="B9" s="213" t="s">
        <v>132</v>
      </c>
      <c r="C9" s="243">
        <v>5647857.1707999995</v>
      </c>
      <c r="D9" s="243">
        <v>5007489.6295999996</v>
      </c>
      <c r="E9" s="243">
        <v>5059768.4501999998</v>
      </c>
      <c r="F9" s="243">
        <v>4041409.5376000004</v>
      </c>
      <c r="G9" s="243">
        <v>3583226.7872000001</v>
      </c>
      <c r="H9" s="243">
        <v>3121479.9389999998</v>
      </c>
      <c r="I9" s="243">
        <v>2828904.2746000001</v>
      </c>
      <c r="J9" s="243">
        <v>2965615.6741999998</v>
      </c>
      <c r="K9" s="243">
        <v>3207844.9564</v>
      </c>
      <c r="L9" s="243">
        <v>4244201.6129999999</v>
      </c>
      <c r="M9" s="243">
        <v>4861286.93</v>
      </c>
      <c r="N9" s="243">
        <v>5533297.6456000004</v>
      </c>
      <c r="O9" s="214">
        <f>SUM(C9:N9)</f>
        <v>50102382.608199991</v>
      </c>
      <c r="S9" s="19"/>
      <c r="T9" s="19"/>
      <c r="U9" s="19"/>
      <c r="V9" s="19"/>
    </row>
    <row r="10" spans="2:40" x14ac:dyDescent="0.25">
      <c r="B10" s="46"/>
      <c r="C10" s="55"/>
      <c r="D10" s="55"/>
      <c r="E10" s="55"/>
      <c r="F10" s="55"/>
      <c r="G10" s="55"/>
      <c r="H10" s="55"/>
      <c r="I10" s="55"/>
      <c r="J10" s="55"/>
      <c r="K10" s="55"/>
      <c r="L10" s="55"/>
      <c r="M10" s="55"/>
      <c r="N10" s="55"/>
      <c r="O10" s="56"/>
      <c r="S10" s="19"/>
      <c r="T10" s="19"/>
      <c r="U10" s="19"/>
      <c r="V10" s="19"/>
    </row>
    <row r="11" spans="2:40" ht="40.15" customHeight="1" x14ac:dyDescent="0.25">
      <c r="B11" s="355" t="s">
        <v>25</v>
      </c>
      <c r="C11" s="355"/>
      <c r="D11" s="355"/>
      <c r="E11" s="355"/>
      <c r="F11" s="355"/>
      <c r="G11" s="355"/>
      <c r="H11" s="355"/>
      <c r="I11" s="355"/>
      <c r="J11" s="355"/>
      <c r="K11" s="355"/>
      <c r="L11" s="355"/>
      <c r="M11" s="355"/>
      <c r="N11" s="355"/>
      <c r="O11" s="355"/>
      <c r="S11" s="19"/>
      <c r="T11" s="19"/>
      <c r="U11" s="19"/>
      <c r="V11" s="19"/>
    </row>
    <row r="12" spans="2:40" ht="14.45" customHeight="1" x14ac:dyDescent="0.25">
      <c r="B12" s="356"/>
      <c r="C12" s="354" t="s">
        <v>26</v>
      </c>
      <c r="D12" s="354"/>
      <c r="E12" s="354"/>
      <c r="F12" s="354"/>
      <c r="G12" s="354"/>
      <c r="H12" s="354"/>
      <c r="I12" s="354"/>
      <c r="J12" s="354"/>
      <c r="K12" s="354"/>
      <c r="L12" s="354"/>
      <c r="M12" s="354"/>
      <c r="N12" s="354"/>
      <c r="O12" s="354"/>
      <c r="S12" s="19"/>
      <c r="T12" s="19"/>
      <c r="U12" s="19"/>
      <c r="V12" s="19"/>
    </row>
    <row r="13" spans="2:40" x14ac:dyDescent="0.25">
      <c r="B13" s="356"/>
      <c r="C13" s="208" t="s">
        <v>13</v>
      </c>
      <c r="D13" s="208" t="s">
        <v>14</v>
      </c>
      <c r="E13" s="208" t="s">
        <v>15</v>
      </c>
      <c r="F13" s="208" t="s">
        <v>16</v>
      </c>
      <c r="G13" s="208" t="s">
        <v>17</v>
      </c>
      <c r="H13" s="208" t="s">
        <v>18</v>
      </c>
      <c r="I13" s="208" t="s">
        <v>19</v>
      </c>
      <c r="J13" s="208" t="s">
        <v>20</v>
      </c>
      <c r="K13" s="208" t="s">
        <v>21</v>
      </c>
      <c r="L13" s="208" t="s">
        <v>22</v>
      </c>
      <c r="M13" s="208" t="s">
        <v>23</v>
      </c>
      <c r="N13" s="208" t="s">
        <v>24</v>
      </c>
      <c r="O13" s="208" t="s">
        <v>5</v>
      </c>
      <c r="S13" s="19"/>
      <c r="T13" s="19"/>
      <c r="U13" s="19"/>
      <c r="V13" s="19"/>
    </row>
    <row r="14" spans="2:40" x14ac:dyDescent="0.25">
      <c r="B14" s="192" t="s">
        <v>27</v>
      </c>
      <c r="C14" s="215">
        <f>C9/$O$9</f>
        <v>0.11272631912470456</v>
      </c>
      <c r="D14" s="215">
        <f t="shared" ref="D14:N14" si="0">D9/$O$9</f>
        <v>9.9945139710390749E-2</v>
      </c>
      <c r="E14" s="215">
        <f t="shared" si="0"/>
        <v>0.10098857952060536</v>
      </c>
      <c r="F14" s="215">
        <f t="shared" si="0"/>
        <v>8.0663020942612101E-2</v>
      </c>
      <c r="G14" s="215">
        <f t="shared" si="0"/>
        <v>7.1518091569033534E-2</v>
      </c>
      <c r="H14" s="215">
        <f t="shared" si="0"/>
        <v>6.2302025901840516E-2</v>
      </c>
      <c r="I14" s="215">
        <f t="shared" si="0"/>
        <v>5.6462469993133785E-2</v>
      </c>
      <c r="J14" s="215">
        <f t="shared" si="0"/>
        <v>5.9191110678130369E-2</v>
      </c>
      <c r="K14" s="215">
        <f t="shared" si="0"/>
        <v>6.4025796567107551E-2</v>
      </c>
      <c r="L14" s="215">
        <f t="shared" si="0"/>
        <v>8.4710574468875144E-2</v>
      </c>
      <c r="M14" s="215">
        <f t="shared" si="0"/>
        <v>9.702706092872275E-2</v>
      </c>
      <c r="N14" s="215">
        <f t="shared" si="0"/>
        <v>0.11043981059484374</v>
      </c>
      <c r="O14" s="215">
        <f>SUM(C14:N14)</f>
        <v>1</v>
      </c>
      <c r="S14" s="19"/>
      <c r="T14" s="19"/>
      <c r="U14" s="19"/>
      <c r="V14" s="19"/>
      <c r="AD14" s="115"/>
      <c r="AE14" s="115"/>
      <c r="AF14" s="115"/>
      <c r="AG14" s="115"/>
      <c r="AH14" s="115"/>
      <c r="AI14" s="115"/>
      <c r="AJ14" s="115"/>
      <c r="AK14" s="115"/>
      <c r="AL14" s="115"/>
      <c r="AM14" s="115"/>
      <c r="AN14" s="115"/>
    </row>
    <row r="15" spans="2:40" x14ac:dyDescent="0.25">
      <c r="B15" s="46"/>
      <c r="C15" s="55"/>
      <c r="D15" s="55"/>
      <c r="E15" s="59"/>
      <c r="F15" s="59"/>
      <c r="G15" s="55"/>
      <c r="H15" s="55"/>
      <c r="I15" s="55"/>
      <c r="J15" s="55"/>
      <c r="K15" s="55"/>
      <c r="L15" s="55"/>
      <c r="M15" s="55"/>
      <c r="N15" s="55"/>
      <c r="O15" s="56"/>
      <c r="S15" s="19"/>
      <c r="T15" s="19"/>
      <c r="U15" s="19"/>
      <c r="V15" s="19"/>
    </row>
    <row r="16" spans="2:40" ht="41.45" customHeight="1" x14ac:dyDescent="0.25">
      <c r="B16" s="355" t="s">
        <v>28</v>
      </c>
      <c r="C16" s="355"/>
      <c r="D16" s="355"/>
      <c r="E16" s="355"/>
      <c r="F16" s="355"/>
      <c r="G16" s="355"/>
      <c r="H16" s="355"/>
      <c r="I16" s="355"/>
      <c r="J16" s="355"/>
      <c r="K16" s="355"/>
      <c r="L16" s="355"/>
      <c r="M16" s="355"/>
      <c r="N16" s="355"/>
      <c r="O16" s="57"/>
      <c r="S16" s="19"/>
      <c r="T16" s="19"/>
      <c r="U16" s="19"/>
      <c r="V16" s="19"/>
    </row>
    <row r="17" spans="2:22" ht="14.45" customHeight="1" x14ac:dyDescent="0.25">
      <c r="B17" s="356"/>
      <c r="C17" s="354" t="s">
        <v>26</v>
      </c>
      <c r="D17" s="354"/>
      <c r="E17" s="354"/>
      <c r="F17" s="354"/>
      <c r="G17" s="354"/>
      <c r="H17" s="354"/>
      <c r="I17" s="354"/>
      <c r="J17" s="354"/>
      <c r="K17" s="354"/>
      <c r="L17" s="354"/>
      <c r="M17" s="354"/>
      <c r="N17" s="354"/>
      <c r="O17" s="60"/>
      <c r="S17" s="19"/>
      <c r="T17" s="19"/>
      <c r="U17" s="19"/>
      <c r="V17" s="19"/>
    </row>
    <row r="18" spans="2:22" x14ac:dyDescent="0.25">
      <c r="B18" s="356"/>
      <c r="C18" s="208" t="s">
        <v>13</v>
      </c>
      <c r="D18" s="208" t="s">
        <v>14</v>
      </c>
      <c r="E18" s="208" t="s">
        <v>15</v>
      </c>
      <c r="F18" s="208" t="s">
        <v>16</v>
      </c>
      <c r="G18" s="208" t="s">
        <v>17</v>
      </c>
      <c r="H18" s="208" t="s">
        <v>18</v>
      </c>
      <c r="I18" s="208" t="s">
        <v>19</v>
      </c>
      <c r="J18" s="208" t="s">
        <v>20</v>
      </c>
      <c r="K18" s="208" t="s">
        <v>21</v>
      </c>
      <c r="L18" s="208" t="s">
        <v>22</v>
      </c>
      <c r="M18" s="208" t="s">
        <v>23</v>
      </c>
      <c r="N18" s="208" t="s">
        <v>24</v>
      </c>
      <c r="O18" s="61"/>
      <c r="S18" s="19"/>
      <c r="T18" s="19"/>
      <c r="U18" s="19"/>
      <c r="V18" s="19"/>
    </row>
    <row r="19" spans="2:22" x14ac:dyDescent="0.25">
      <c r="B19" s="192" t="s">
        <v>29</v>
      </c>
      <c r="C19" s="215">
        <f>IF(C14&gt;0,C14*12,MIN(0.1,SMALL($C$14:$N$14,COUNTIF($C$14:$N$14,0)+1))*12)</f>
        <v>1.3527158294964547</v>
      </c>
      <c r="D19" s="215">
        <f t="shared" ref="D19:N19" si="1">IF(D14&gt;0,D14*12,MIN(0.1,SMALL($C$14:$N$14,COUNTIF($C$14:$N$14,0)+1))*12)</f>
        <v>1.1993416765246889</v>
      </c>
      <c r="E19" s="215">
        <f t="shared" si="1"/>
        <v>1.2118629542472643</v>
      </c>
      <c r="F19" s="215">
        <f t="shared" si="1"/>
        <v>0.96795625131134522</v>
      </c>
      <c r="G19" s="215">
        <f t="shared" si="1"/>
        <v>0.85821709882840236</v>
      </c>
      <c r="H19" s="215">
        <f t="shared" si="1"/>
        <v>0.74762431082208614</v>
      </c>
      <c r="I19" s="215">
        <f t="shared" si="1"/>
        <v>0.67754963991760542</v>
      </c>
      <c r="J19" s="215">
        <f t="shared" si="1"/>
        <v>0.71029332813756441</v>
      </c>
      <c r="K19" s="215">
        <f t="shared" si="1"/>
        <v>0.76830955880529062</v>
      </c>
      <c r="L19" s="215">
        <f t="shared" si="1"/>
        <v>1.0165268936265017</v>
      </c>
      <c r="M19" s="215">
        <f t="shared" si="1"/>
        <v>1.1643247311446729</v>
      </c>
      <c r="N19" s="215">
        <f t="shared" si="1"/>
        <v>1.3252777271381249</v>
      </c>
      <c r="O19" s="59"/>
      <c r="Q19" s="64"/>
      <c r="R19" s="58"/>
      <c r="S19" s="38"/>
      <c r="T19" s="19"/>
      <c r="U19" s="19"/>
      <c r="V19" s="19"/>
    </row>
    <row r="20" spans="2:22" x14ac:dyDescent="0.25">
      <c r="B20" s="46"/>
      <c r="C20" s="63"/>
      <c r="D20" s="55"/>
      <c r="E20" s="55"/>
      <c r="F20" s="55"/>
      <c r="G20" s="55"/>
      <c r="H20" s="55"/>
      <c r="I20" s="55"/>
      <c r="J20" s="55"/>
      <c r="K20" s="55"/>
      <c r="L20" s="55"/>
      <c r="M20" s="55"/>
      <c r="N20" s="55"/>
      <c r="O20" s="56"/>
      <c r="S20" s="19"/>
      <c r="T20" s="19"/>
      <c r="U20" s="19"/>
      <c r="V20" s="19"/>
    </row>
    <row r="21" spans="2:22" ht="43.15" customHeight="1" x14ac:dyDescent="0.25">
      <c r="B21" s="355" t="s">
        <v>30</v>
      </c>
      <c r="C21" s="355"/>
      <c r="D21" s="355"/>
      <c r="E21" s="355"/>
      <c r="F21" s="355"/>
      <c r="G21" s="355"/>
      <c r="H21" s="355"/>
      <c r="I21" s="355"/>
      <c r="J21" s="355"/>
      <c r="K21" s="355"/>
      <c r="L21" s="355"/>
      <c r="M21" s="355"/>
      <c r="N21" s="355"/>
      <c r="O21" s="57"/>
      <c r="S21" s="19"/>
      <c r="T21" s="19"/>
      <c r="U21" s="19"/>
      <c r="V21" s="19"/>
    </row>
    <row r="22" spans="2:22" ht="14.45" customHeight="1" x14ac:dyDescent="0.25">
      <c r="B22" s="356"/>
      <c r="C22" s="354" t="s">
        <v>26</v>
      </c>
      <c r="D22" s="354"/>
      <c r="E22" s="354"/>
      <c r="F22" s="354"/>
      <c r="G22" s="354"/>
      <c r="H22" s="354"/>
      <c r="I22" s="354"/>
      <c r="J22" s="354"/>
      <c r="K22" s="354"/>
      <c r="L22" s="354"/>
      <c r="M22" s="354"/>
      <c r="N22" s="354"/>
      <c r="O22" s="103"/>
      <c r="S22" s="19"/>
      <c r="T22" s="19"/>
      <c r="U22" s="19"/>
      <c r="V22" s="19"/>
    </row>
    <row r="23" spans="2:22" x14ac:dyDescent="0.25">
      <c r="B23" s="356"/>
      <c r="C23" s="208" t="s">
        <v>13</v>
      </c>
      <c r="D23" s="208" t="s">
        <v>14</v>
      </c>
      <c r="E23" s="208" t="s">
        <v>15</v>
      </c>
      <c r="F23" s="208" t="s">
        <v>16</v>
      </c>
      <c r="G23" s="208" t="s">
        <v>17</v>
      </c>
      <c r="H23" s="208" t="s">
        <v>18</v>
      </c>
      <c r="I23" s="208" t="s">
        <v>19</v>
      </c>
      <c r="J23" s="208" t="s">
        <v>20</v>
      </c>
      <c r="K23" s="208" t="s">
        <v>21</v>
      </c>
      <c r="L23" s="208" t="s">
        <v>22</v>
      </c>
      <c r="M23" s="208" t="s">
        <v>23</v>
      </c>
      <c r="N23" s="208" t="s">
        <v>24</v>
      </c>
      <c r="O23" s="104"/>
      <c r="S23" s="19"/>
      <c r="T23" s="19"/>
      <c r="U23" s="19"/>
      <c r="V23" s="19"/>
    </row>
    <row r="24" spans="2:22" x14ac:dyDescent="0.25">
      <c r="B24" s="192" t="s">
        <v>31</v>
      </c>
      <c r="C24" s="215">
        <f>C19^$C$25</f>
        <v>1.8298401153702817</v>
      </c>
      <c r="D24" s="215">
        <f t="shared" ref="D24:N24" si="2">D19^$C$25</f>
        <v>1.4384204570490515</v>
      </c>
      <c r="E24" s="215">
        <f t="shared" si="2"/>
        <v>1.4686118198769071</v>
      </c>
      <c r="F24" s="215">
        <f t="shared" si="2"/>
        <v>0.93693930445271212</v>
      </c>
      <c r="G24" s="215">
        <f t="shared" si="2"/>
        <v>0.73653658872143979</v>
      </c>
      <c r="H24" s="215">
        <f t="shared" si="2"/>
        <v>0.5589421101321993</v>
      </c>
      <c r="I24" s="215">
        <f t="shared" si="2"/>
        <v>0.45907351455247675</v>
      </c>
      <c r="J24" s="215">
        <f t="shared" si="2"/>
        <v>0.5045166119967377</v>
      </c>
      <c r="K24" s="215">
        <f t="shared" si="2"/>
        <v>0.5902995781515803</v>
      </c>
      <c r="L24" s="215">
        <f t="shared" si="2"/>
        <v>1.0333269254659452</v>
      </c>
      <c r="M24" s="215">
        <f t="shared" si="2"/>
        <v>1.355652079555115</v>
      </c>
      <c r="N24" s="215">
        <f t="shared" si="2"/>
        <v>1.756361054048394</v>
      </c>
      <c r="O24" s="59"/>
      <c r="S24" s="19"/>
      <c r="T24" s="19"/>
      <c r="U24" s="19"/>
      <c r="V24" s="19"/>
    </row>
    <row r="25" spans="2:22" x14ac:dyDescent="0.25">
      <c r="B25" s="192" t="s">
        <v>32</v>
      </c>
      <c r="C25" s="209">
        <v>2</v>
      </c>
      <c r="D25" s="55"/>
      <c r="E25" s="55"/>
      <c r="F25" s="55"/>
      <c r="G25" s="55"/>
      <c r="H25" s="55"/>
      <c r="I25" s="55"/>
      <c r="J25" s="55"/>
      <c r="K25" s="55"/>
      <c r="L25" s="55"/>
      <c r="M25" s="55"/>
      <c r="N25" s="55"/>
      <c r="O25" s="56"/>
      <c r="S25" s="19"/>
      <c r="T25" s="19"/>
      <c r="U25" s="19"/>
      <c r="V25" s="19"/>
    </row>
    <row r="26" spans="2:22" x14ac:dyDescent="0.25">
      <c r="B26" s="46"/>
      <c r="C26" s="55"/>
      <c r="D26" s="55"/>
      <c r="E26" s="55"/>
      <c r="F26" s="55"/>
      <c r="G26" s="55"/>
      <c r="H26" s="55"/>
      <c r="I26" s="55"/>
      <c r="J26" s="55"/>
      <c r="K26" s="55"/>
      <c r="L26" s="55"/>
      <c r="M26" s="55"/>
      <c r="N26" s="55"/>
      <c r="O26" s="56"/>
      <c r="S26" s="19"/>
      <c r="T26" s="19"/>
      <c r="U26" s="19"/>
      <c r="V26" s="19"/>
    </row>
    <row r="27" spans="2:22" ht="55.9" customHeight="1" x14ac:dyDescent="0.25">
      <c r="B27" s="355" t="s">
        <v>33</v>
      </c>
      <c r="C27" s="355"/>
      <c r="D27" s="355"/>
      <c r="E27" s="355"/>
      <c r="F27" s="355"/>
      <c r="G27" s="355"/>
      <c r="H27" s="355"/>
      <c r="I27" s="355"/>
      <c r="J27" s="355"/>
      <c r="K27" s="355"/>
      <c r="L27" s="355"/>
      <c r="M27" s="355"/>
      <c r="N27" s="355"/>
      <c r="O27" s="355"/>
      <c r="S27" s="19"/>
      <c r="T27" s="19"/>
      <c r="U27" s="19"/>
      <c r="V27" s="19"/>
    </row>
    <row r="28" spans="2:22" ht="14.45" customHeight="1" x14ac:dyDescent="0.25">
      <c r="B28" s="356"/>
      <c r="C28" s="354" t="s">
        <v>26</v>
      </c>
      <c r="D28" s="354"/>
      <c r="E28" s="354"/>
      <c r="F28" s="354"/>
      <c r="G28" s="354"/>
      <c r="H28" s="354"/>
      <c r="I28" s="354"/>
      <c r="J28" s="354"/>
      <c r="K28" s="354"/>
      <c r="L28" s="354"/>
      <c r="M28" s="354"/>
      <c r="N28" s="354"/>
      <c r="O28" s="354"/>
      <c r="S28" s="19"/>
      <c r="T28" s="19"/>
      <c r="U28" s="19"/>
      <c r="V28" s="19"/>
    </row>
    <row r="29" spans="2:22" x14ac:dyDescent="0.25">
      <c r="B29" s="356"/>
      <c r="C29" s="208" t="s">
        <v>13</v>
      </c>
      <c r="D29" s="208" t="s">
        <v>14</v>
      </c>
      <c r="E29" s="208" t="s">
        <v>15</v>
      </c>
      <c r="F29" s="208" t="s">
        <v>16</v>
      </c>
      <c r="G29" s="208" t="s">
        <v>17</v>
      </c>
      <c r="H29" s="208" t="s">
        <v>18</v>
      </c>
      <c r="I29" s="208" t="s">
        <v>19</v>
      </c>
      <c r="J29" s="208" t="s">
        <v>20</v>
      </c>
      <c r="K29" s="208" t="s">
        <v>21</v>
      </c>
      <c r="L29" s="208" t="s">
        <v>22</v>
      </c>
      <c r="M29" s="208" t="s">
        <v>23</v>
      </c>
      <c r="N29" s="208" t="s">
        <v>24</v>
      </c>
      <c r="O29" s="208" t="s">
        <v>34</v>
      </c>
      <c r="S29" s="19"/>
      <c r="T29" s="19"/>
      <c r="U29" s="19"/>
      <c r="V29" s="19"/>
    </row>
    <row r="30" spans="2:22" x14ac:dyDescent="0.25">
      <c r="B30" s="192" t="s">
        <v>35</v>
      </c>
      <c r="C30" s="215">
        <f>C24*$C$33</f>
        <v>2.7447601730554227</v>
      </c>
      <c r="D30" s="215">
        <f t="shared" ref="D30:N30" si="3">D24*$C$33</f>
        <v>2.1576306855735772</v>
      </c>
      <c r="E30" s="215">
        <f t="shared" si="3"/>
        <v>2.2029177298153608</v>
      </c>
      <c r="F30" s="215">
        <f t="shared" si="3"/>
        <v>1.4054089566790682</v>
      </c>
      <c r="G30" s="215">
        <f t="shared" si="3"/>
        <v>1.1048048830821597</v>
      </c>
      <c r="H30" s="215">
        <f t="shared" si="3"/>
        <v>0.83841316519829889</v>
      </c>
      <c r="I30" s="215">
        <f t="shared" si="3"/>
        <v>0.68861027182871515</v>
      </c>
      <c r="J30" s="215">
        <f t="shared" si="3"/>
        <v>0.75677491799510654</v>
      </c>
      <c r="K30" s="215">
        <f t="shared" si="3"/>
        <v>0.88544936722737044</v>
      </c>
      <c r="L30" s="215">
        <f t="shared" si="3"/>
        <v>1.5499903881989177</v>
      </c>
      <c r="M30" s="215">
        <f t="shared" si="3"/>
        <v>2.0334781193326723</v>
      </c>
      <c r="N30" s="215">
        <f t="shared" si="3"/>
        <v>2.634541581072591</v>
      </c>
      <c r="O30" s="215">
        <f>AVERAGE(C30:N30)</f>
        <v>1.5835650199216047</v>
      </c>
      <c r="S30" s="19"/>
      <c r="T30" s="19"/>
      <c r="U30" s="19"/>
      <c r="V30" s="19"/>
    </row>
    <row r="31" spans="2:22" x14ac:dyDescent="0.25">
      <c r="B31" s="192" t="s">
        <v>36</v>
      </c>
      <c r="C31" s="215">
        <f>C24*$C$34</f>
        <v>5.4895203461108455</v>
      </c>
      <c r="D31" s="215">
        <f t="shared" ref="D31:N31" si="4">D24*$C$34</f>
        <v>4.3152613711471544</v>
      </c>
      <c r="E31" s="215">
        <f t="shared" si="4"/>
        <v>4.4058354596307217</v>
      </c>
      <c r="F31" s="215">
        <f t="shared" si="4"/>
        <v>2.8108179133581364</v>
      </c>
      <c r="G31" s="215">
        <f t="shared" si="4"/>
        <v>2.2096097661643195</v>
      </c>
      <c r="H31" s="215">
        <f t="shared" si="4"/>
        <v>1.6768263303965978</v>
      </c>
      <c r="I31" s="215">
        <f t="shared" si="4"/>
        <v>1.3772205436574303</v>
      </c>
      <c r="J31" s="215">
        <f t="shared" si="4"/>
        <v>1.5135498359902131</v>
      </c>
      <c r="K31" s="215">
        <f t="shared" si="4"/>
        <v>1.7708987344547409</v>
      </c>
      <c r="L31" s="215">
        <f t="shared" si="4"/>
        <v>3.0999807763978353</v>
      </c>
      <c r="M31" s="215">
        <f t="shared" si="4"/>
        <v>4.0669562386653446</v>
      </c>
      <c r="N31" s="215">
        <f t="shared" si="4"/>
        <v>5.2690831621451819</v>
      </c>
      <c r="O31" s="215">
        <f>AVERAGE(C31:N31)</f>
        <v>3.1671300398432094</v>
      </c>
      <c r="S31" s="19"/>
      <c r="T31" s="19"/>
      <c r="U31" s="19"/>
      <c r="V31" s="19"/>
    </row>
    <row r="32" spans="2:22" ht="8.4499999999999993" customHeight="1" x14ac:dyDescent="0.25">
      <c r="B32" s="192"/>
      <c r="C32" s="216"/>
      <c r="D32" s="216"/>
      <c r="E32" s="216"/>
      <c r="F32" s="216"/>
      <c r="G32" s="216"/>
      <c r="H32" s="216"/>
      <c r="I32" s="216"/>
      <c r="J32" s="216"/>
      <c r="K32" s="216"/>
      <c r="L32" s="216"/>
      <c r="M32" s="216"/>
      <c r="N32" s="216"/>
      <c r="O32" s="216"/>
      <c r="S32" s="19"/>
      <c r="T32" s="19"/>
      <c r="U32" s="19"/>
      <c r="V32" s="19"/>
    </row>
    <row r="33" spans="2:22" x14ac:dyDescent="0.25">
      <c r="B33" s="192" t="s">
        <v>37</v>
      </c>
      <c r="C33" s="210">
        <f>'DG_SK, Trumpal. kainos'!M22</f>
        <v>1.5</v>
      </c>
      <c r="D33" s="55"/>
      <c r="E33" s="55"/>
      <c r="F33" s="55"/>
      <c r="G33" s="55"/>
      <c r="H33" s="55"/>
      <c r="I33" s="55"/>
      <c r="J33" s="55"/>
      <c r="K33" s="55"/>
      <c r="L33" s="55"/>
      <c r="M33" s="55"/>
      <c r="N33" s="55"/>
      <c r="O33" s="56"/>
      <c r="S33" s="19"/>
      <c r="T33" s="19"/>
      <c r="U33" s="19"/>
      <c r="V33" s="19"/>
    </row>
    <row r="34" spans="2:22" x14ac:dyDescent="0.25">
      <c r="B34" s="192" t="s">
        <v>38</v>
      </c>
      <c r="C34" s="210">
        <f>'DG_SK, Trumpal. kainos'!N22</f>
        <v>3</v>
      </c>
      <c r="D34" s="55"/>
      <c r="E34" s="55"/>
      <c r="F34" s="55"/>
      <c r="G34" s="55"/>
      <c r="H34" s="55"/>
      <c r="I34" s="55"/>
      <c r="J34" s="55"/>
      <c r="K34" s="55"/>
      <c r="L34" s="55"/>
      <c r="M34" s="55"/>
      <c r="N34" s="55"/>
      <c r="O34" s="56"/>
      <c r="S34" s="19"/>
      <c r="T34" s="19"/>
      <c r="U34" s="19"/>
      <c r="V34" s="19"/>
    </row>
    <row r="35" spans="2:22" x14ac:dyDescent="0.25">
      <c r="B35" s="46"/>
      <c r="C35" s="55"/>
      <c r="D35" s="55"/>
      <c r="E35" s="55"/>
      <c r="F35" s="55"/>
      <c r="G35" s="55"/>
      <c r="H35" s="55"/>
      <c r="I35" s="55"/>
      <c r="J35" s="55"/>
      <c r="K35" s="55"/>
      <c r="L35" s="55"/>
      <c r="M35" s="55"/>
      <c r="N35" s="55"/>
      <c r="O35" s="56"/>
      <c r="S35" s="19"/>
      <c r="T35" s="19"/>
      <c r="U35" s="19"/>
      <c r="V35" s="19"/>
    </row>
    <row r="36" spans="2:22" ht="162" customHeight="1" x14ac:dyDescent="0.25">
      <c r="B36" s="355" t="s">
        <v>39</v>
      </c>
      <c r="C36" s="355"/>
      <c r="D36" s="355"/>
      <c r="E36" s="355"/>
      <c r="F36" s="355"/>
      <c r="G36" s="355"/>
      <c r="H36" s="355"/>
      <c r="I36" s="355"/>
      <c r="J36" s="355"/>
      <c r="K36" s="355"/>
      <c r="L36" s="355"/>
      <c r="M36" s="355"/>
      <c r="N36" s="355"/>
      <c r="O36" s="57"/>
      <c r="S36" s="19"/>
      <c r="T36" s="19"/>
      <c r="U36" s="19"/>
      <c r="V36" s="19"/>
    </row>
    <row r="37" spans="2:22" ht="14.45" customHeight="1" x14ac:dyDescent="0.25">
      <c r="B37" s="356"/>
      <c r="C37" s="354" t="s">
        <v>26</v>
      </c>
      <c r="D37" s="354"/>
      <c r="E37" s="354"/>
      <c r="F37" s="354"/>
      <c r="G37" s="354"/>
      <c r="H37" s="354"/>
      <c r="I37" s="354"/>
      <c r="J37" s="354"/>
      <c r="K37" s="354"/>
      <c r="L37" s="354"/>
      <c r="M37" s="354"/>
      <c r="N37" s="354"/>
      <c r="O37" s="60"/>
      <c r="S37" s="19"/>
      <c r="T37" s="19"/>
      <c r="U37" s="19"/>
      <c r="V37" s="19"/>
    </row>
    <row r="38" spans="2:22" x14ac:dyDescent="0.25">
      <c r="B38" s="356"/>
      <c r="C38" s="208" t="s">
        <v>13</v>
      </c>
      <c r="D38" s="208" t="s">
        <v>14</v>
      </c>
      <c r="E38" s="208" t="s">
        <v>15</v>
      </c>
      <c r="F38" s="208" t="s">
        <v>16</v>
      </c>
      <c r="G38" s="208" t="s">
        <v>17</v>
      </c>
      <c r="H38" s="208" t="s">
        <v>18</v>
      </c>
      <c r="I38" s="208" t="s">
        <v>19</v>
      </c>
      <c r="J38" s="208" t="s">
        <v>20</v>
      </c>
      <c r="K38" s="208" t="s">
        <v>21</v>
      </c>
      <c r="L38" s="208" t="s">
        <v>22</v>
      </c>
      <c r="M38" s="208" t="s">
        <v>23</v>
      </c>
      <c r="N38" s="208" t="s">
        <v>24</v>
      </c>
      <c r="O38" s="61"/>
      <c r="S38" s="19"/>
      <c r="T38" s="19"/>
      <c r="U38" s="19"/>
      <c r="V38" s="19"/>
    </row>
    <row r="39" spans="2:22" x14ac:dyDescent="0.25">
      <c r="B39" s="192" t="s">
        <v>40</v>
      </c>
      <c r="C39" s="215">
        <f>C24*$C$42</f>
        <v>1.7332791129670846</v>
      </c>
      <c r="D39" s="215">
        <f t="shared" ref="D39:N39" si="5">D24*$C$42</f>
        <v>1.362514742640875</v>
      </c>
      <c r="E39" s="215">
        <f t="shared" si="5"/>
        <v>1.3911129016504906</v>
      </c>
      <c r="F39" s="215">
        <f t="shared" si="5"/>
        <v>0.88749684351365865</v>
      </c>
      <c r="G39" s="215">
        <f t="shared" si="5"/>
        <v>0.69766941627496526</v>
      </c>
      <c r="H39" s="215">
        <f t="shared" si="5"/>
        <v>0.52944663127239644</v>
      </c>
      <c r="I39" s="215">
        <f t="shared" si="5"/>
        <v>0.43484812001139378</v>
      </c>
      <c r="J39" s="215">
        <f t="shared" si="5"/>
        <v>0.47789317677184551</v>
      </c>
      <c r="K39" s="215">
        <f t="shared" si="5"/>
        <v>0.55914935988621739</v>
      </c>
      <c r="L39" s="215">
        <f t="shared" si="5"/>
        <v>0.97879807188191803</v>
      </c>
      <c r="M39" s="215">
        <f t="shared" si="5"/>
        <v>1.2841140677844356</v>
      </c>
      <c r="N39" s="215">
        <f t="shared" si="5"/>
        <v>1.6636775553447218</v>
      </c>
      <c r="O39" s="59"/>
      <c r="S39" s="19"/>
      <c r="T39" s="19"/>
      <c r="U39" s="19"/>
      <c r="V39" s="19"/>
    </row>
    <row r="40" spans="2:22" x14ac:dyDescent="0.25">
      <c r="B40" s="192" t="s">
        <v>41</v>
      </c>
      <c r="C40" s="215">
        <f>C24*$C$43</f>
        <v>1.7332791129670846</v>
      </c>
      <c r="D40" s="215">
        <f t="shared" ref="D40:N40" si="6">D24*$C$43</f>
        <v>1.362514742640875</v>
      </c>
      <c r="E40" s="215">
        <f t="shared" si="6"/>
        <v>1.3911129016504906</v>
      </c>
      <c r="F40" s="215">
        <f t="shared" si="6"/>
        <v>0.88749684351365865</v>
      </c>
      <c r="G40" s="215">
        <f t="shared" si="6"/>
        <v>0.69766941627496526</v>
      </c>
      <c r="H40" s="215">
        <f t="shared" si="6"/>
        <v>0.52944663127239644</v>
      </c>
      <c r="I40" s="215">
        <f t="shared" si="6"/>
        <v>0.43484812001139378</v>
      </c>
      <c r="J40" s="215">
        <f t="shared" si="6"/>
        <v>0.47789317677184551</v>
      </c>
      <c r="K40" s="215">
        <f t="shared" si="6"/>
        <v>0.55914935988621739</v>
      </c>
      <c r="L40" s="215">
        <f t="shared" si="6"/>
        <v>0.97879807188191803</v>
      </c>
      <c r="M40" s="215">
        <f t="shared" si="6"/>
        <v>1.2841140677844356</v>
      </c>
      <c r="N40" s="215">
        <f t="shared" si="6"/>
        <v>1.6636775553447218</v>
      </c>
      <c r="O40" s="59"/>
      <c r="S40" s="19"/>
      <c r="T40" s="19"/>
      <c r="U40" s="19"/>
      <c r="V40" s="19"/>
    </row>
    <row r="41" spans="2:22" ht="7.15" customHeight="1" x14ac:dyDescent="0.25">
      <c r="B41" s="192"/>
      <c r="C41" s="216"/>
      <c r="D41" s="216"/>
      <c r="E41" s="216"/>
      <c r="F41" s="216"/>
      <c r="G41" s="216"/>
      <c r="H41" s="216"/>
      <c r="I41" s="216"/>
      <c r="J41" s="216"/>
      <c r="K41" s="216"/>
      <c r="L41" s="216"/>
      <c r="M41" s="216"/>
      <c r="N41" s="216"/>
      <c r="O41" s="59"/>
      <c r="S41" s="19"/>
      <c r="T41" s="19"/>
      <c r="U41" s="19"/>
      <c r="V41" s="19"/>
    </row>
    <row r="42" spans="2:22" x14ac:dyDescent="0.25">
      <c r="B42" s="192" t="s">
        <v>42</v>
      </c>
      <c r="C42" s="215">
        <f>IF(O30&gt;1.5,1.5/O30,IF(O30&lt;1,1/O30,1))</f>
        <v>0.94722981445640819</v>
      </c>
      <c r="D42" s="59"/>
      <c r="E42" s="55"/>
      <c r="F42" s="55"/>
      <c r="G42" s="55"/>
      <c r="H42" s="55"/>
      <c r="I42" s="55"/>
      <c r="J42" s="55"/>
      <c r="K42" s="55"/>
      <c r="L42" s="55"/>
      <c r="M42" s="55"/>
      <c r="N42" s="55"/>
      <c r="O42" s="56"/>
      <c r="S42" s="19"/>
      <c r="T42" s="19"/>
      <c r="U42" s="19"/>
      <c r="V42" s="19"/>
    </row>
    <row r="43" spans="2:22" x14ac:dyDescent="0.25">
      <c r="B43" s="192" t="s">
        <v>43</v>
      </c>
      <c r="C43" s="215">
        <f>IF(O31&gt;3,3/O31,IF(O31&lt;1,1/O31,1))</f>
        <v>0.94722981445640819</v>
      </c>
      <c r="D43" s="59"/>
      <c r="E43" s="55"/>
      <c r="F43" s="55"/>
      <c r="G43" s="55"/>
      <c r="H43" s="55"/>
      <c r="I43" s="55"/>
      <c r="J43" s="55"/>
      <c r="K43" s="55"/>
      <c r="L43" s="55"/>
      <c r="M43" s="55"/>
      <c r="N43" s="55"/>
      <c r="O43" s="56"/>
      <c r="S43" s="19"/>
      <c r="T43" s="19"/>
      <c r="U43" s="19"/>
      <c r="V43" s="19"/>
    </row>
    <row r="44" spans="2:22" x14ac:dyDescent="0.25">
      <c r="B44" s="46"/>
      <c r="C44" s="55"/>
      <c r="D44" s="55"/>
      <c r="E44" s="55"/>
      <c r="F44" s="55"/>
      <c r="G44" s="55"/>
      <c r="H44" s="55"/>
      <c r="I44" s="55"/>
      <c r="J44" s="55"/>
      <c r="K44" s="55"/>
      <c r="L44" s="55"/>
      <c r="M44" s="55"/>
      <c r="N44" s="55"/>
      <c r="O44" s="56"/>
      <c r="S44" s="19"/>
      <c r="T44" s="19"/>
      <c r="U44" s="19"/>
      <c r="V44" s="19"/>
    </row>
    <row r="45" spans="2:22" ht="98.45" customHeight="1" x14ac:dyDescent="0.25">
      <c r="B45" s="355" t="s">
        <v>44</v>
      </c>
      <c r="C45" s="355"/>
      <c r="D45" s="355"/>
      <c r="E45" s="355"/>
      <c r="F45" s="355"/>
      <c r="G45" s="355"/>
      <c r="H45" s="355"/>
      <c r="I45" s="355"/>
      <c r="J45" s="355"/>
      <c r="K45" s="355"/>
      <c r="L45" s="355"/>
      <c r="M45" s="355"/>
      <c r="N45" s="355"/>
      <c r="O45" s="57"/>
      <c r="S45" s="19"/>
      <c r="T45" s="19"/>
      <c r="U45" s="19"/>
      <c r="V45" s="19"/>
    </row>
    <row r="46" spans="2:22" ht="14.45" customHeight="1" x14ac:dyDescent="0.25">
      <c r="B46" s="356"/>
      <c r="C46" s="354" t="s">
        <v>45</v>
      </c>
      <c r="D46" s="354"/>
      <c r="E46" s="354"/>
      <c r="F46" s="354"/>
      <c r="G46" s="60"/>
      <c r="H46" s="60"/>
      <c r="I46" s="60"/>
      <c r="J46" s="60"/>
      <c r="K46" s="60"/>
      <c r="L46" s="60"/>
      <c r="M46" s="60"/>
      <c r="N46" s="60"/>
      <c r="O46" s="60"/>
      <c r="S46" s="19"/>
      <c r="T46" s="19"/>
      <c r="U46" s="19"/>
      <c r="V46" s="19"/>
    </row>
    <row r="47" spans="2:22" x14ac:dyDescent="0.25">
      <c r="B47" s="356"/>
      <c r="C47" s="208" t="s">
        <v>46</v>
      </c>
      <c r="D47" s="208" t="s">
        <v>47</v>
      </c>
      <c r="E47" s="208" t="s">
        <v>48</v>
      </c>
      <c r="F47" s="208" t="s">
        <v>49</v>
      </c>
      <c r="G47" s="61"/>
      <c r="H47" s="61"/>
      <c r="I47" s="61"/>
      <c r="J47" s="61"/>
      <c r="K47" s="61"/>
      <c r="L47" s="61"/>
      <c r="M47" s="61"/>
      <c r="N47" s="61"/>
      <c r="O47" s="61"/>
      <c r="S47" s="19"/>
      <c r="T47" s="19"/>
      <c r="U47" s="19"/>
      <c r="V47" s="19"/>
    </row>
    <row r="48" spans="2:22" x14ac:dyDescent="0.25">
      <c r="B48" s="192" t="s">
        <v>50</v>
      </c>
      <c r="C48" s="215">
        <f>AVERAGE(C39:E39)</f>
        <v>1.4956355857528167</v>
      </c>
      <c r="D48" s="215">
        <f>AVERAGE(F39:H39)</f>
        <v>0.70487096368700686</v>
      </c>
      <c r="E48" s="215">
        <f>AVERAGE(I39:K39)</f>
        <v>0.49063021888981889</v>
      </c>
      <c r="F48" s="215">
        <f>AVERAGE(L39:N39)</f>
        <v>1.3088632316703583</v>
      </c>
      <c r="G48" s="59"/>
      <c r="H48" s="59"/>
      <c r="I48" s="59"/>
      <c r="J48" s="59"/>
      <c r="K48" s="59"/>
      <c r="L48" s="59"/>
      <c r="M48" s="59"/>
      <c r="N48" s="59"/>
      <c r="O48" s="59"/>
      <c r="S48" s="19"/>
      <c r="T48" s="19"/>
      <c r="U48" s="19"/>
      <c r="V48" s="19"/>
    </row>
    <row r="49" spans="2:22" x14ac:dyDescent="0.25">
      <c r="B49" s="46"/>
      <c r="C49" s="55"/>
      <c r="D49" s="55"/>
      <c r="E49" s="55"/>
      <c r="F49" s="55"/>
      <c r="G49" s="55"/>
      <c r="H49" s="55"/>
      <c r="I49" s="55"/>
      <c r="J49" s="55"/>
      <c r="K49" s="55"/>
      <c r="L49" s="55"/>
      <c r="M49" s="55"/>
      <c r="N49" s="55"/>
      <c r="O49" s="56"/>
      <c r="S49" s="19"/>
      <c r="T49" s="19"/>
      <c r="U49" s="19"/>
      <c r="V49" s="19"/>
    </row>
    <row r="50" spans="2:22" ht="29.45" customHeight="1" x14ac:dyDescent="0.25">
      <c r="B50" s="355" t="s">
        <v>51</v>
      </c>
      <c r="C50" s="355"/>
      <c r="D50" s="355"/>
      <c r="E50" s="355"/>
      <c r="F50" s="355"/>
      <c r="G50" s="355"/>
      <c r="H50" s="355"/>
      <c r="I50" s="355"/>
      <c r="J50" s="355"/>
      <c r="K50" s="355"/>
      <c r="L50" s="355"/>
      <c r="M50" s="355"/>
      <c r="N50" s="355"/>
      <c r="O50" s="100"/>
      <c r="S50" s="19"/>
      <c r="T50" s="19"/>
      <c r="U50" s="19"/>
      <c r="V50" s="19"/>
    </row>
    <row r="51" spans="2:22" ht="14.45" customHeight="1" x14ac:dyDescent="0.25">
      <c r="B51" s="356"/>
      <c r="C51" s="354" t="s">
        <v>26</v>
      </c>
      <c r="D51" s="354"/>
      <c r="E51" s="354"/>
      <c r="F51" s="354"/>
      <c r="G51" s="354"/>
      <c r="H51" s="354"/>
      <c r="I51" s="354"/>
      <c r="J51" s="354"/>
      <c r="K51" s="354"/>
      <c r="L51" s="354"/>
      <c r="M51" s="354"/>
      <c r="N51" s="354"/>
      <c r="O51" s="354"/>
      <c r="S51" s="19"/>
      <c r="T51" s="19"/>
      <c r="U51" s="19"/>
      <c r="V51" s="19"/>
    </row>
    <row r="52" spans="2:22" x14ac:dyDescent="0.25">
      <c r="B52" s="356"/>
      <c r="C52" s="208" t="s">
        <v>13</v>
      </c>
      <c r="D52" s="208" t="s">
        <v>14</v>
      </c>
      <c r="E52" s="208" t="s">
        <v>15</v>
      </c>
      <c r="F52" s="208" t="s">
        <v>16</v>
      </c>
      <c r="G52" s="208" t="s">
        <v>17</v>
      </c>
      <c r="H52" s="208" t="s">
        <v>18</v>
      </c>
      <c r="I52" s="208" t="s">
        <v>19</v>
      </c>
      <c r="J52" s="208" t="s">
        <v>20</v>
      </c>
      <c r="K52" s="208" t="s">
        <v>21</v>
      </c>
      <c r="L52" s="208" t="s">
        <v>22</v>
      </c>
      <c r="M52" s="208" t="s">
        <v>23</v>
      </c>
      <c r="N52" s="208" t="s">
        <v>24</v>
      </c>
      <c r="O52" s="208" t="s">
        <v>34</v>
      </c>
      <c r="S52" s="19"/>
      <c r="T52" s="19"/>
      <c r="U52" s="19"/>
      <c r="V52" s="19"/>
    </row>
    <row r="53" spans="2:22" x14ac:dyDescent="0.25">
      <c r="B53" s="192" t="s">
        <v>52</v>
      </c>
      <c r="C53" s="217">
        <f>ROUND(C39,2)</f>
        <v>1.73</v>
      </c>
      <c r="D53" s="217">
        <f t="shared" ref="D53:N53" si="7">ROUND(D39,2)</f>
        <v>1.36</v>
      </c>
      <c r="E53" s="217">
        <f t="shared" si="7"/>
        <v>1.39</v>
      </c>
      <c r="F53" s="217">
        <f t="shared" si="7"/>
        <v>0.89</v>
      </c>
      <c r="G53" s="217">
        <f t="shared" si="7"/>
        <v>0.7</v>
      </c>
      <c r="H53" s="217">
        <f t="shared" si="7"/>
        <v>0.53</v>
      </c>
      <c r="I53" s="217">
        <f t="shared" si="7"/>
        <v>0.43</v>
      </c>
      <c r="J53" s="217">
        <f t="shared" si="7"/>
        <v>0.48</v>
      </c>
      <c r="K53" s="217">
        <f t="shared" si="7"/>
        <v>0.56000000000000005</v>
      </c>
      <c r="L53" s="217">
        <f t="shared" si="7"/>
        <v>0.98</v>
      </c>
      <c r="M53" s="217">
        <f t="shared" si="7"/>
        <v>1.28</v>
      </c>
      <c r="N53" s="217">
        <f t="shared" si="7"/>
        <v>1.66</v>
      </c>
      <c r="O53" s="217">
        <f>AVERAGE(C53:N53)</f>
        <v>0.99916666666666665</v>
      </c>
      <c r="S53" s="19"/>
      <c r="T53" s="19"/>
      <c r="U53" s="19"/>
      <c r="V53" s="19"/>
    </row>
    <row r="54" spans="2:22" x14ac:dyDescent="0.25">
      <c r="B54" s="192" t="s">
        <v>53</v>
      </c>
      <c r="C54" s="217">
        <f>ROUND(C40,2)</f>
        <v>1.73</v>
      </c>
      <c r="D54" s="217">
        <f t="shared" ref="D54:N54" si="8">ROUND(D40,2)</f>
        <v>1.36</v>
      </c>
      <c r="E54" s="217">
        <f t="shared" si="8"/>
        <v>1.39</v>
      </c>
      <c r="F54" s="217">
        <f t="shared" si="8"/>
        <v>0.89</v>
      </c>
      <c r="G54" s="217">
        <f t="shared" si="8"/>
        <v>0.7</v>
      </c>
      <c r="H54" s="217">
        <f t="shared" si="8"/>
        <v>0.53</v>
      </c>
      <c r="I54" s="217">
        <f t="shared" si="8"/>
        <v>0.43</v>
      </c>
      <c r="J54" s="217">
        <f t="shared" si="8"/>
        <v>0.48</v>
      </c>
      <c r="K54" s="217">
        <f t="shared" si="8"/>
        <v>0.56000000000000005</v>
      </c>
      <c r="L54" s="217">
        <f t="shared" si="8"/>
        <v>0.98</v>
      </c>
      <c r="M54" s="217">
        <f t="shared" si="8"/>
        <v>1.28</v>
      </c>
      <c r="N54" s="217">
        <f t="shared" si="8"/>
        <v>1.66</v>
      </c>
      <c r="O54" s="217">
        <f>AVERAGE(C54:N54)</f>
        <v>0.99916666666666665</v>
      </c>
      <c r="S54" s="19"/>
      <c r="T54" s="19"/>
      <c r="U54" s="19"/>
      <c r="V54" s="19"/>
    </row>
    <row r="55" spans="2:22" x14ac:dyDescent="0.25">
      <c r="B55" s="105"/>
      <c r="C55" s="208" t="s">
        <v>46</v>
      </c>
      <c r="D55" s="208" t="s">
        <v>47</v>
      </c>
      <c r="E55" s="208" t="s">
        <v>48</v>
      </c>
      <c r="F55" s="208" t="s">
        <v>49</v>
      </c>
      <c r="G55" s="208" t="s">
        <v>34</v>
      </c>
      <c r="H55" s="61"/>
      <c r="I55" s="61"/>
      <c r="J55" s="61"/>
      <c r="K55" s="61"/>
      <c r="L55" s="61"/>
      <c r="M55" s="61"/>
      <c r="N55" s="61"/>
      <c r="O55" s="56"/>
      <c r="S55" s="19"/>
      <c r="T55" s="19"/>
      <c r="U55" s="19"/>
      <c r="V55" s="19"/>
    </row>
    <row r="56" spans="2:22" x14ac:dyDescent="0.25">
      <c r="B56" s="192" t="s">
        <v>54</v>
      </c>
      <c r="C56" s="217">
        <f>ROUND(C48,2)</f>
        <v>1.5</v>
      </c>
      <c r="D56" s="217">
        <f t="shared" ref="D56:F56" si="9">ROUND(D48,2)</f>
        <v>0.7</v>
      </c>
      <c r="E56" s="217">
        <f t="shared" si="9"/>
        <v>0.49</v>
      </c>
      <c r="F56" s="217">
        <f t="shared" si="9"/>
        <v>1.31</v>
      </c>
      <c r="G56" s="217">
        <f>AVERAGE(C56:F56)</f>
        <v>1</v>
      </c>
      <c r="H56" s="59"/>
      <c r="I56" s="59"/>
      <c r="J56" s="59"/>
      <c r="K56" s="59"/>
      <c r="L56" s="59"/>
      <c r="M56" s="59"/>
      <c r="N56" s="59"/>
      <c r="O56" s="56"/>
      <c r="S56" s="19"/>
      <c r="T56" s="19"/>
      <c r="U56" s="19"/>
      <c r="V56" s="19"/>
    </row>
    <row r="57" spans="2:22" x14ac:dyDescent="0.25">
      <c r="B57" s="46"/>
      <c r="C57" s="55"/>
      <c r="D57" s="55"/>
      <c r="E57" s="55"/>
      <c r="F57" s="55"/>
      <c r="G57" s="55"/>
      <c r="H57" s="55"/>
      <c r="I57" s="55"/>
      <c r="J57" s="55"/>
      <c r="K57" s="55"/>
      <c r="L57" s="55"/>
      <c r="M57" s="55"/>
      <c r="N57" s="55"/>
      <c r="O57" s="56"/>
      <c r="S57" s="19"/>
      <c r="T57" s="19"/>
      <c r="U57" s="19"/>
      <c r="V57" s="19"/>
    </row>
    <row r="58" spans="2:22" x14ac:dyDescent="0.25">
      <c r="C58" s="70"/>
      <c r="D58" s="62"/>
      <c r="E58" s="62"/>
      <c r="F58" s="62"/>
      <c r="S58" s="43"/>
    </row>
    <row r="59" spans="2:22" x14ac:dyDescent="0.25">
      <c r="B59" s="71"/>
      <c r="C59" s="69"/>
    </row>
    <row r="64" spans="2:22" x14ac:dyDescent="0.25">
      <c r="D64" s="115"/>
      <c r="E64" s="115"/>
      <c r="F64" s="115"/>
      <c r="G64" s="115"/>
      <c r="H64" s="115"/>
      <c r="I64" s="115"/>
      <c r="J64" s="115"/>
      <c r="K64" s="115"/>
      <c r="L64" s="115"/>
      <c r="M64" s="115"/>
      <c r="N64" s="115"/>
      <c r="O64" s="115"/>
    </row>
    <row r="65" spans="3:15" x14ac:dyDescent="0.25">
      <c r="C65" s="115"/>
      <c r="D65" s="115"/>
      <c r="E65" s="115"/>
      <c r="F65" s="115"/>
      <c r="G65" s="115"/>
      <c r="H65" s="115"/>
      <c r="I65" s="115"/>
      <c r="J65" s="115"/>
      <c r="K65" s="115"/>
      <c r="L65" s="115"/>
      <c r="M65" s="115"/>
      <c r="N65" s="115"/>
      <c r="O65" s="115"/>
    </row>
    <row r="66" spans="3:15" x14ac:dyDescent="0.25">
      <c r="C66" s="115"/>
      <c r="D66" s="115"/>
      <c r="E66" s="115"/>
      <c r="F66" s="115"/>
      <c r="G66" s="115"/>
      <c r="H66" s="115"/>
      <c r="I66" s="115"/>
      <c r="J66" s="115"/>
      <c r="K66" s="115"/>
      <c r="L66" s="115"/>
      <c r="M66" s="115"/>
      <c r="N66" s="115"/>
      <c r="O66" s="115"/>
    </row>
  </sheetData>
  <mergeCells count="24">
    <mergeCell ref="C46:F46"/>
    <mergeCell ref="B50:N50"/>
    <mergeCell ref="C51:O51"/>
    <mergeCell ref="B16:N16"/>
    <mergeCell ref="C22:N22"/>
    <mergeCell ref="B22:B23"/>
    <mergeCell ref="B21:N21"/>
    <mergeCell ref="B51:B52"/>
    <mergeCell ref="B46:B47"/>
    <mergeCell ref="B28:B29"/>
    <mergeCell ref="B37:B38"/>
    <mergeCell ref="C17:N17"/>
    <mergeCell ref="B17:B18"/>
    <mergeCell ref="B27:O27"/>
    <mergeCell ref="C28:O28"/>
    <mergeCell ref="B36:N36"/>
    <mergeCell ref="C37:N37"/>
    <mergeCell ref="B45:N45"/>
    <mergeCell ref="B6:O6"/>
    <mergeCell ref="C7:O7"/>
    <mergeCell ref="B11:O11"/>
    <mergeCell ref="C12:O12"/>
    <mergeCell ref="B7:B8"/>
    <mergeCell ref="B12:B13"/>
  </mergeCells>
  <dataValidations count="2">
    <dataValidation operator="greaterThan" allowBlank="1" showInputMessage="1" showErrorMessage="1" sqref="C9:N9" xr:uid="{2B3A4820-3970-4086-AE8A-674D7E07876D}"/>
    <dataValidation type="decimal" allowBlank="1" showInputMessage="1" showErrorMessage="1" errorTitle="Invalid data" error="Values between 0 and 2 must be entered." sqref="C25" xr:uid="{00000000-0002-0000-0200-000001000000}">
      <formula1>0</formula1>
      <formula2>2</formula2>
    </dataValidation>
  </dataValidations>
  <pageMargins left="0.7" right="0.7" top="0.75" bottom="0.75" header="0.3" footer="0.3"/>
  <pageSetup paperSize="9" scale="36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BF20CFF39F4DBC42B17CE9C9019BEF2A" ma:contentTypeVersion="12" ma:contentTypeDescription="Create a new document." ma:contentTypeScope="" ma:versionID="1e216b43aa2991533175d8a809ca5b93">
  <xsd:schema xmlns:xsd="http://www.w3.org/2001/XMLSchema" xmlns:xs="http://www.w3.org/2001/XMLSchema" xmlns:p="http://schemas.microsoft.com/office/2006/metadata/properties" xmlns:ns2="7d64f92b-5087-432f-bc72-197b11021e2d" xmlns:ns3="20a07c10-6e21-4686-8683-b21ded9c5c68" targetNamespace="http://schemas.microsoft.com/office/2006/metadata/properties" ma:root="true" ma:fieldsID="11c2a11949cc2fdb5b99acc63fbde607" ns2:_="" ns3:_="">
    <xsd:import namespace="7d64f92b-5087-432f-bc72-197b11021e2d"/>
    <xsd:import namespace="20a07c10-6e21-4686-8683-b21ded9c5c68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SearchProperties" minOccurs="0"/>
                <xsd:element ref="ns2:MediaServiceDateTake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d64f92b-5087-432f-bc72-197b11021e2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2" nillable="true" ma:taxonomy="true" ma:internalName="lcf76f155ced4ddcb4097134ff3c332f" ma:taxonomyFieldName="MediaServiceImageTags" ma:displayName="Image Tags" ma:readOnly="false" ma:fieldId="{5cf76f15-5ced-4ddc-b409-7134ff3c332f}" ma:taxonomyMulti="true" ma:sspId="42b345c9-fbff-4881-8138-0e26af7d90ce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SearchProperties" ma:index="17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8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0a07c10-6e21-4686-8683-b21ded9c5c68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3fc64c14-8e34-4df9-8b10-6d9463d65a78}" ma:internalName="TaxCatchAll" ma:showField="CatchAllData" ma:web="20a07c10-6e21-4686-8683-b21ded9c5c68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45555627-B4AC-485E-A0C4-F3C9F12F6ADC}"/>
</file>

<file path=customXml/itemProps2.xml><?xml version="1.0" encoding="utf-8"?>
<ds:datastoreItem xmlns:ds="http://schemas.openxmlformats.org/officeDocument/2006/customXml" ds:itemID="{2BCC28D8-8FA6-4887-AB8D-C49AFAF2E287}"/>
</file>

<file path=docMetadata/LabelInfo.xml><?xml version="1.0" encoding="utf-8"?>
<clbl:labelList xmlns:clbl="http://schemas.microsoft.com/office/2020/mipLabelMetadata">
  <clbl:label id="{25d43cbe-1d34-4aee-b177-a8008a220178}" enabled="1" method="Privileged" siteId="{e54289c6-b630-4215-acc5-57eec01212d6}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Kainos</vt:lpstr>
      <vt:lpstr>DG_SK, Trumpal. kainos</vt:lpstr>
      <vt:lpstr>SK skaičiavimas_Vieningi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2024-08-05T09:11:16Z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25d43cbe-1d34-4aee-b177-a8008a220178_Enabled">
    <vt:lpwstr>true</vt:lpwstr>
  </property>
  <property fmtid="{D5CDD505-2E9C-101B-9397-08002B2CF9AE}" pid="3" name="MSIP_Label_25d43cbe-1d34-4aee-b177-a8008a220178_SetDate">
    <vt:lpwstr>2022-05-11T08:34:56Z</vt:lpwstr>
  </property>
  <property fmtid="{D5CDD505-2E9C-101B-9397-08002B2CF9AE}" pid="4" name="MSIP_Label_25d43cbe-1d34-4aee-b177-a8008a220178_Method">
    <vt:lpwstr>Privileged</vt:lpwstr>
  </property>
  <property fmtid="{D5CDD505-2E9C-101B-9397-08002B2CF9AE}" pid="5" name="MSIP_Label_25d43cbe-1d34-4aee-b177-a8008a220178_Name">
    <vt:lpwstr>ExternalUnprotected</vt:lpwstr>
  </property>
  <property fmtid="{D5CDD505-2E9C-101B-9397-08002B2CF9AE}" pid="6" name="MSIP_Label_25d43cbe-1d34-4aee-b177-a8008a220178_SiteId">
    <vt:lpwstr>e54289c6-b630-4215-acc5-57eec01212d6</vt:lpwstr>
  </property>
  <property fmtid="{D5CDD505-2E9C-101B-9397-08002B2CF9AE}" pid="7" name="MSIP_Label_25d43cbe-1d34-4aee-b177-a8008a220178_ActionId">
    <vt:lpwstr>5820e0e8-db43-4540-853b-dc53ed50787d</vt:lpwstr>
  </property>
  <property fmtid="{D5CDD505-2E9C-101B-9397-08002B2CF9AE}" pid="8" name="MSIP_Label_25d43cbe-1d34-4aee-b177-a8008a220178_ContentBits">
    <vt:lpwstr>0</vt:lpwstr>
  </property>
</Properties>
</file>