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6136" documentId="13_ncr:1_{B2DF38B4-FE4A-4C62-909A-2F45A578B0C9}" xr6:coauthVersionLast="47" xr6:coauthVersionMax="47" xr10:uidLastSave="{DA715DFC-9DD8-4E33-B33E-0172A0955CBC}"/>
  <bookViews>
    <workbookView xWindow="-120" yWindow="-120" windowWidth="29040" windowHeight="15720" tabRatio="889" xr2:uid="{00000000-000D-0000-FFFF-FFFF00000000}"/>
  </bookViews>
  <sheets>
    <sheet name="Kainos 2026-2028" sheetId="9" r:id="rId1"/>
    <sheet name="DG_SK, Trumpal. kainos" sheetId="11" r:id="rId2"/>
    <sheet name="SK skaičiavimas_Vieningi" sheetId="13" r:id="rId3"/>
  </sheets>
  <definedNames>
    <definedName name="_xlnm._FilterDatabase" localSheetId="1" hidden="1">'DG_SK, Trumpal. kainos'!#REF!</definedName>
    <definedName name="_xlnm._FilterDatabase" localSheetId="0" hidden="1">'Kainos 2026-2028'!#REF!</definedName>
    <definedName name="_xlnm._FilterDatabase" localSheetId="2" hidden="1">'SK skaičiavimas_Vieningi'!#REF!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9" i="9" l="1"/>
  <c r="C151" i="11" s="1"/>
  <c r="J128" i="9"/>
  <c r="C150" i="11" s="1"/>
  <c r="J127" i="9"/>
  <c r="C149" i="11" s="1"/>
  <c r="J126" i="9"/>
  <c r="J124" i="9"/>
  <c r="J125" i="9" s="1"/>
  <c r="I129" i="9"/>
  <c r="I128" i="9"/>
  <c r="C132" i="11" s="1"/>
  <c r="E132" i="11" s="1"/>
  <c r="I127" i="9"/>
  <c r="C131" i="11" s="1"/>
  <c r="I126" i="9"/>
  <c r="C130" i="11" s="1"/>
  <c r="I124" i="9"/>
  <c r="I125" i="9" s="1"/>
  <c r="C129" i="11" s="1"/>
  <c r="H127" i="9"/>
  <c r="C113" i="11" s="1"/>
  <c r="AG142" i="11"/>
  <c r="AH142" i="11"/>
  <c r="AI142" i="11"/>
  <c r="AJ142" i="11"/>
  <c r="AK142" i="11"/>
  <c r="AL142" i="11"/>
  <c r="AM142" i="11"/>
  <c r="AN142" i="11"/>
  <c r="AO142" i="11"/>
  <c r="AP142" i="11"/>
  <c r="AQ142" i="11"/>
  <c r="AG143" i="11"/>
  <c r="AH143" i="11"/>
  <c r="AI143" i="11"/>
  <c r="AJ143" i="11"/>
  <c r="AK143" i="11"/>
  <c r="AL143" i="11"/>
  <c r="AM143" i="11"/>
  <c r="AN143" i="11"/>
  <c r="AO143" i="11"/>
  <c r="AP143" i="11"/>
  <c r="AQ143" i="11"/>
  <c r="AG144" i="11"/>
  <c r="AH144" i="11"/>
  <c r="AI144" i="11"/>
  <c r="AJ144" i="11"/>
  <c r="AK144" i="11"/>
  <c r="AL144" i="11"/>
  <c r="AM144" i="11"/>
  <c r="AN144" i="11"/>
  <c r="AO144" i="11"/>
  <c r="AP144" i="11"/>
  <c r="AQ144" i="11"/>
  <c r="AG145" i="11"/>
  <c r="AH145" i="11"/>
  <c r="AI145" i="11"/>
  <c r="AJ145" i="11"/>
  <c r="AK145" i="11"/>
  <c r="AL145" i="11"/>
  <c r="AM145" i="11"/>
  <c r="AN145" i="11"/>
  <c r="AO145" i="11"/>
  <c r="AP145" i="11"/>
  <c r="AQ145" i="11"/>
  <c r="AF143" i="11"/>
  <c r="AF142" i="11"/>
  <c r="AF144" i="11"/>
  <c r="AF145" i="11"/>
  <c r="U142" i="11"/>
  <c r="V142" i="11"/>
  <c r="W142" i="11"/>
  <c r="X142" i="11"/>
  <c r="Y142" i="11"/>
  <c r="Z142" i="11"/>
  <c r="AA142" i="11"/>
  <c r="AB142" i="11"/>
  <c r="AC142" i="11"/>
  <c r="AD142" i="11"/>
  <c r="AE142" i="11"/>
  <c r="U143" i="11"/>
  <c r="V143" i="11"/>
  <c r="W143" i="11"/>
  <c r="X143" i="11"/>
  <c r="Y143" i="11"/>
  <c r="Z143" i="11"/>
  <c r="AA143" i="11"/>
  <c r="AB143" i="11"/>
  <c r="AC143" i="11"/>
  <c r="AD143" i="11"/>
  <c r="AE143" i="11"/>
  <c r="U144" i="11"/>
  <c r="V144" i="11"/>
  <c r="W144" i="11"/>
  <c r="X144" i="11"/>
  <c r="Y144" i="11"/>
  <c r="Z144" i="11"/>
  <c r="AA144" i="11"/>
  <c r="AB144" i="11"/>
  <c r="AC144" i="11"/>
  <c r="AD144" i="11"/>
  <c r="AE144" i="11"/>
  <c r="U145" i="11"/>
  <c r="V145" i="11"/>
  <c r="W145" i="11"/>
  <c r="X145" i="11"/>
  <c r="Y145" i="11"/>
  <c r="Z145" i="11"/>
  <c r="AA145" i="11"/>
  <c r="AB145" i="11"/>
  <c r="AC145" i="11"/>
  <c r="AD145" i="11"/>
  <c r="AE145" i="11"/>
  <c r="T145" i="11"/>
  <c r="T144" i="11"/>
  <c r="T143" i="11"/>
  <c r="T142" i="11"/>
  <c r="AG125" i="11"/>
  <c r="AH125" i="11"/>
  <c r="AI125" i="11"/>
  <c r="AJ125" i="11"/>
  <c r="AK125" i="11"/>
  <c r="AL125" i="11"/>
  <c r="AM125" i="11"/>
  <c r="AN125" i="11"/>
  <c r="AO125" i="11"/>
  <c r="AP125" i="11"/>
  <c r="AQ125" i="11"/>
  <c r="AF125" i="11"/>
  <c r="AG124" i="11"/>
  <c r="AH124" i="11"/>
  <c r="AI124" i="11"/>
  <c r="AJ124" i="11"/>
  <c r="AK124" i="11"/>
  <c r="AL124" i="11"/>
  <c r="AM124" i="11"/>
  <c r="AN124" i="11"/>
  <c r="AO124" i="11"/>
  <c r="AP124" i="11"/>
  <c r="AQ124" i="11"/>
  <c r="AF124" i="11"/>
  <c r="AG126" i="11"/>
  <c r="AH126" i="11"/>
  <c r="AI126" i="11"/>
  <c r="AJ126" i="11"/>
  <c r="AK126" i="11"/>
  <c r="AL126" i="11"/>
  <c r="AM126" i="11"/>
  <c r="AN126" i="11"/>
  <c r="AO126" i="11"/>
  <c r="AP126" i="11"/>
  <c r="AQ126" i="11"/>
  <c r="AG127" i="11"/>
  <c r="AH127" i="11"/>
  <c r="AI127" i="11"/>
  <c r="AJ127" i="11"/>
  <c r="AK127" i="11"/>
  <c r="AL127" i="11"/>
  <c r="AM127" i="11"/>
  <c r="AN127" i="11"/>
  <c r="AO127" i="11"/>
  <c r="AP127" i="11"/>
  <c r="AQ127" i="11"/>
  <c r="AF127" i="11"/>
  <c r="AF126" i="11"/>
  <c r="U124" i="11"/>
  <c r="V124" i="11"/>
  <c r="W124" i="11"/>
  <c r="X124" i="11"/>
  <c r="Y124" i="11"/>
  <c r="Z124" i="11"/>
  <c r="AA124" i="11"/>
  <c r="AB124" i="11"/>
  <c r="AC124" i="11"/>
  <c r="AD124" i="11"/>
  <c r="AE124" i="11"/>
  <c r="U125" i="11"/>
  <c r="V125" i="11"/>
  <c r="W125" i="11"/>
  <c r="X125" i="11"/>
  <c r="Y125" i="11"/>
  <c r="Z125" i="11"/>
  <c r="AA125" i="11"/>
  <c r="AB125" i="11"/>
  <c r="AC125" i="11"/>
  <c r="AD125" i="11"/>
  <c r="AE125" i="11"/>
  <c r="U126" i="11"/>
  <c r="V126" i="11"/>
  <c r="W126" i="11"/>
  <c r="X126" i="11"/>
  <c r="Y126" i="11"/>
  <c r="Z126" i="11"/>
  <c r="AA126" i="11"/>
  <c r="AB126" i="11"/>
  <c r="AC126" i="11"/>
  <c r="AD126" i="11"/>
  <c r="AE126" i="11"/>
  <c r="U127" i="11"/>
  <c r="V127" i="11"/>
  <c r="W127" i="11"/>
  <c r="X127" i="11"/>
  <c r="Y127" i="11"/>
  <c r="Z127" i="11"/>
  <c r="AA127" i="11"/>
  <c r="AB127" i="11"/>
  <c r="AC127" i="11"/>
  <c r="AD127" i="11"/>
  <c r="AE127" i="11"/>
  <c r="T127" i="11"/>
  <c r="T126" i="11"/>
  <c r="T125" i="11"/>
  <c r="T124" i="11"/>
  <c r="I142" i="11"/>
  <c r="J142" i="11"/>
  <c r="K142" i="11"/>
  <c r="L142" i="11"/>
  <c r="M142" i="11"/>
  <c r="N142" i="11"/>
  <c r="O142" i="11"/>
  <c r="P142" i="11"/>
  <c r="Q142" i="11"/>
  <c r="R142" i="11"/>
  <c r="S142" i="11"/>
  <c r="I143" i="11"/>
  <c r="J143" i="11"/>
  <c r="K143" i="11"/>
  <c r="L143" i="11"/>
  <c r="M143" i="11"/>
  <c r="N143" i="11"/>
  <c r="O143" i="11"/>
  <c r="P143" i="11"/>
  <c r="Q143" i="11"/>
  <c r="R143" i="11"/>
  <c r="S143" i="11"/>
  <c r="I144" i="11"/>
  <c r="J144" i="11"/>
  <c r="K144" i="11"/>
  <c r="L144" i="11"/>
  <c r="M144" i="11"/>
  <c r="N144" i="11"/>
  <c r="O144" i="11"/>
  <c r="P144" i="11"/>
  <c r="Q144" i="11"/>
  <c r="R144" i="11"/>
  <c r="S144" i="11"/>
  <c r="I145" i="11"/>
  <c r="J145" i="11"/>
  <c r="K145" i="11"/>
  <c r="L145" i="11"/>
  <c r="M145" i="11"/>
  <c r="N145" i="11"/>
  <c r="O145" i="11"/>
  <c r="P145" i="11"/>
  <c r="Q145" i="11"/>
  <c r="R145" i="11"/>
  <c r="S145" i="11"/>
  <c r="D145" i="11"/>
  <c r="E144" i="11"/>
  <c r="F144" i="11"/>
  <c r="G144" i="11"/>
  <c r="D144" i="11"/>
  <c r="H145" i="11"/>
  <c r="H144" i="11"/>
  <c r="H143" i="11"/>
  <c r="H142" i="11"/>
  <c r="D142" i="11"/>
  <c r="S124" i="11"/>
  <c r="S125" i="11"/>
  <c r="S126" i="11"/>
  <c r="S127" i="11"/>
  <c r="I124" i="11"/>
  <c r="J124" i="11"/>
  <c r="K124" i="11"/>
  <c r="L124" i="11"/>
  <c r="M124" i="11"/>
  <c r="N124" i="11"/>
  <c r="O124" i="11"/>
  <c r="P124" i="11"/>
  <c r="Q124" i="11"/>
  <c r="R124" i="11"/>
  <c r="I125" i="11"/>
  <c r="J125" i="11"/>
  <c r="K125" i="11"/>
  <c r="L125" i="11"/>
  <c r="M125" i="11"/>
  <c r="N125" i="11"/>
  <c r="O125" i="11"/>
  <c r="P125" i="11"/>
  <c r="Q125" i="11"/>
  <c r="R125" i="11"/>
  <c r="I126" i="11"/>
  <c r="J126" i="11"/>
  <c r="K126" i="11"/>
  <c r="L126" i="11"/>
  <c r="M126" i="11"/>
  <c r="N126" i="11"/>
  <c r="O126" i="11"/>
  <c r="P126" i="11"/>
  <c r="Q126" i="11"/>
  <c r="R126" i="11"/>
  <c r="I127" i="11"/>
  <c r="J127" i="11"/>
  <c r="K127" i="11"/>
  <c r="L127" i="11"/>
  <c r="M127" i="11"/>
  <c r="N127" i="11"/>
  <c r="O127" i="11"/>
  <c r="P127" i="11"/>
  <c r="Q127" i="11"/>
  <c r="R127" i="11"/>
  <c r="H127" i="11"/>
  <c r="H126" i="11"/>
  <c r="H125" i="11"/>
  <c r="H124" i="11"/>
  <c r="D127" i="11"/>
  <c r="D126" i="11"/>
  <c r="D125" i="11"/>
  <c r="D124" i="11"/>
  <c r="E145" i="11"/>
  <c r="F145" i="11"/>
  <c r="G145" i="11"/>
  <c r="E143" i="11"/>
  <c r="F143" i="11"/>
  <c r="G143" i="11"/>
  <c r="D143" i="11"/>
  <c r="E126" i="11"/>
  <c r="F126" i="11"/>
  <c r="G126" i="11"/>
  <c r="E127" i="11"/>
  <c r="F127" i="11"/>
  <c r="G127" i="11"/>
  <c r="E125" i="11"/>
  <c r="F125" i="11"/>
  <c r="G125" i="11"/>
  <c r="E142" i="11"/>
  <c r="F142" i="11"/>
  <c r="G142" i="11"/>
  <c r="E124" i="11"/>
  <c r="F124" i="11"/>
  <c r="G124" i="11"/>
  <c r="D106" i="11"/>
  <c r="C133" i="11"/>
  <c r="C128" i="11"/>
  <c r="C148" i="11"/>
  <c r="J118" i="9"/>
  <c r="J120" i="9" s="1"/>
  <c r="J110" i="9"/>
  <c r="J105" i="9"/>
  <c r="J101" i="9" s="1"/>
  <c r="J94" i="9"/>
  <c r="I118" i="9"/>
  <c r="I120" i="9" s="1"/>
  <c r="I110" i="9"/>
  <c r="I105" i="9"/>
  <c r="I101" i="9" s="1"/>
  <c r="I94" i="9"/>
  <c r="H94" i="9"/>
  <c r="C146" i="11" l="1"/>
  <c r="C147" i="11"/>
  <c r="C225" i="11"/>
  <c r="AL133" i="11"/>
  <c r="AB133" i="11"/>
  <c r="AA133" i="11"/>
  <c r="C222" i="11"/>
  <c r="K132" i="11"/>
  <c r="Y132" i="11"/>
  <c r="AO132" i="11"/>
  <c r="AG132" i="11"/>
  <c r="AC132" i="11"/>
  <c r="C223" i="11"/>
  <c r="R133" i="11"/>
  <c r="J133" i="11"/>
  <c r="L146" i="11"/>
  <c r="X151" i="11"/>
  <c r="AB132" i="11"/>
  <c r="C224" i="11"/>
  <c r="M132" i="11"/>
  <c r="Z133" i="11"/>
  <c r="L132" i="11"/>
  <c r="Z131" i="11"/>
  <c r="Z208" i="11" s="1"/>
  <c r="AB131" i="11"/>
  <c r="AB208" i="11" s="1"/>
  <c r="C208" i="11"/>
  <c r="AJ131" i="11"/>
  <c r="AJ208" i="11" s="1"/>
  <c r="AO131" i="11"/>
  <c r="AO208" i="11" s="1"/>
  <c r="AP131" i="11"/>
  <c r="AP208" i="11" s="1"/>
  <c r="K133" i="11"/>
  <c r="S130" i="11"/>
  <c r="K130" i="11"/>
  <c r="AF130" i="11"/>
  <c r="AG130" i="11"/>
  <c r="F132" i="11"/>
  <c r="S132" i="11"/>
  <c r="AI132" i="11"/>
  <c r="T132" i="11"/>
  <c r="AJ132" i="11"/>
  <c r="U132" i="11"/>
  <c r="AK132" i="11"/>
  <c r="Z132" i="11"/>
  <c r="AP132" i="11"/>
  <c r="AA132" i="11"/>
  <c r="AQ132" i="11"/>
  <c r="F133" i="11"/>
  <c r="Y131" i="11"/>
  <c r="Y208" i="11" s="1"/>
  <c r="R129" i="11"/>
  <c r="C220" i="11"/>
  <c r="G133" i="11"/>
  <c r="L133" i="11"/>
  <c r="AC133" i="11"/>
  <c r="M133" i="11"/>
  <c r="AH133" i="11"/>
  <c r="N133" i="11"/>
  <c r="AI133" i="11"/>
  <c r="S133" i="11"/>
  <c r="AJ133" i="11"/>
  <c r="T133" i="11"/>
  <c r="AK133" i="11"/>
  <c r="AQ133" i="11"/>
  <c r="E133" i="11"/>
  <c r="T131" i="11"/>
  <c r="T208" i="11" s="1"/>
  <c r="Q128" i="11"/>
  <c r="AP133" i="11"/>
  <c r="AH132" i="11"/>
  <c r="L131" i="11"/>
  <c r="Q132" i="11"/>
  <c r="I132" i="11"/>
  <c r="K148" i="11"/>
  <c r="W148" i="11"/>
  <c r="AQ146" i="11"/>
  <c r="AI147" i="11"/>
  <c r="D133" i="11"/>
  <c r="J146" i="11"/>
  <c r="AD133" i="11"/>
  <c r="V133" i="11"/>
  <c r="V148" i="11"/>
  <c r="AP146" i="11"/>
  <c r="U133" i="11"/>
  <c r="AE149" i="11"/>
  <c r="I131" i="11"/>
  <c r="G129" i="11"/>
  <c r="L151" i="11"/>
  <c r="L225" i="11" s="1"/>
  <c r="AA130" i="11"/>
  <c r="E131" i="11"/>
  <c r="M131" i="11"/>
  <c r="U131" i="11"/>
  <c r="U208" i="11" s="1"/>
  <c r="AC131" i="11"/>
  <c r="AC208" i="11" s="1"/>
  <c r="AK131" i="11"/>
  <c r="AK208" i="11" s="1"/>
  <c r="H131" i="11"/>
  <c r="X131" i="11"/>
  <c r="X208" i="11" s="1"/>
  <c r="F131" i="11"/>
  <c r="N131" i="11"/>
  <c r="V131" i="11"/>
  <c r="V208" i="11" s="1"/>
  <c r="AD131" i="11"/>
  <c r="AD208" i="11" s="1"/>
  <c r="AL131" i="11"/>
  <c r="AL208" i="11" s="1"/>
  <c r="AN131" i="11"/>
  <c r="AN208" i="11" s="1"/>
  <c r="G131" i="11"/>
  <c r="O131" i="11"/>
  <c r="W131" i="11"/>
  <c r="W208" i="11" s="1"/>
  <c r="AE131" i="11"/>
  <c r="AE208" i="11" s="1"/>
  <c r="AM131" i="11"/>
  <c r="AM208" i="11" s="1"/>
  <c r="P131" i="11"/>
  <c r="AF131" i="11"/>
  <c r="AF208" i="11" s="1"/>
  <c r="Q151" i="11"/>
  <c r="I149" i="11"/>
  <c r="AC150" i="11"/>
  <c r="U148" i="11"/>
  <c r="AO149" i="11"/>
  <c r="AG149" i="11"/>
  <c r="AI131" i="11"/>
  <c r="AI208" i="11" s="1"/>
  <c r="S131" i="11"/>
  <c r="AP130" i="11"/>
  <c r="Y130" i="11"/>
  <c r="AP129" i="11"/>
  <c r="W129" i="11"/>
  <c r="AM128" i="11"/>
  <c r="H128" i="11"/>
  <c r="P128" i="11"/>
  <c r="X128" i="11"/>
  <c r="AF128" i="11"/>
  <c r="AN128" i="11"/>
  <c r="J128" i="11"/>
  <c r="R128" i="11"/>
  <c r="Z128" i="11"/>
  <c r="AH128" i="11"/>
  <c r="AP128" i="11"/>
  <c r="E128" i="11"/>
  <c r="U128" i="11"/>
  <c r="AK128" i="11"/>
  <c r="K128" i="11"/>
  <c r="S128" i="11"/>
  <c r="AA128" i="11"/>
  <c r="AI128" i="11"/>
  <c r="AQ128" i="11"/>
  <c r="L128" i="11"/>
  <c r="T128" i="11"/>
  <c r="AB128" i="11"/>
  <c r="AJ128" i="11"/>
  <c r="D128" i="11"/>
  <c r="M128" i="11"/>
  <c r="AC128" i="11"/>
  <c r="Z129" i="11"/>
  <c r="H130" i="11"/>
  <c r="V128" i="11"/>
  <c r="D131" i="11"/>
  <c r="AH131" i="11"/>
  <c r="AH208" i="11" s="1"/>
  <c r="R131" i="11"/>
  <c r="AO130" i="11"/>
  <c r="X130" i="11"/>
  <c r="AN129" i="11"/>
  <c r="AL128" i="11"/>
  <c r="O128" i="11"/>
  <c r="I129" i="11"/>
  <c r="Q129" i="11"/>
  <c r="Y129" i="11"/>
  <c r="AG129" i="11"/>
  <c r="AO129" i="11"/>
  <c r="K129" i="11"/>
  <c r="S129" i="11"/>
  <c r="AA129" i="11"/>
  <c r="AI129" i="11"/>
  <c r="AQ129" i="11"/>
  <c r="N129" i="11"/>
  <c r="V129" i="11"/>
  <c r="AL129" i="11"/>
  <c r="L129" i="11"/>
  <c r="T129" i="11"/>
  <c r="AB129" i="11"/>
  <c r="AJ129" i="11"/>
  <c r="D129" i="11"/>
  <c r="E129" i="11"/>
  <c r="M129" i="11"/>
  <c r="U129" i="11"/>
  <c r="AC129" i="11"/>
  <c r="AK129" i="11"/>
  <c r="F129" i="11"/>
  <c r="AD129" i="11"/>
  <c r="I130" i="11"/>
  <c r="AD150" i="11"/>
  <c r="AD146" i="11"/>
  <c r="AH149" i="11"/>
  <c r="AQ130" i="11"/>
  <c r="X129" i="11"/>
  <c r="AO128" i="11"/>
  <c r="D132" i="11"/>
  <c r="J132" i="11"/>
  <c r="AG131" i="11"/>
  <c r="AG208" i="11" s="1"/>
  <c r="Q131" i="11"/>
  <c r="AN130" i="11"/>
  <c r="AM129" i="11"/>
  <c r="P129" i="11"/>
  <c r="AG128" i="11"/>
  <c r="N128" i="11"/>
  <c r="S150" i="11"/>
  <c r="U150" i="11"/>
  <c r="U224" i="11" s="1"/>
  <c r="AQ151" i="11"/>
  <c r="R132" i="11"/>
  <c r="W128" i="11"/>
  <c r="J130" i="11"/>
  <c r="R130" i="11"/>
  <c r="Z130" i="11"/>
  <c r="L130" i="11"/>
  <c r="T130" i="11"/>
  <c r="AB130" i="11"/>
  <c r="AJ130" i="11"/>
  <c r="D130" i="11"/>
  <c r="O130" i="11"/>
  <c r="AE130" i="11"/>
  <c r="E130" i="11"/>
  <c r="M130" i="11"/>
  <c r="U130" i="11"/>
  <c r="AC130" i="11"/>
  <c r="AK130" i="11"/>
  <c r="F130" i="11"/>
  <c r="N130" i="11"/>
  <c r="V130" i="11"/>
  <c r="AD130" i="11"/>
  <c r="AL130" i="11"/>
  <c r="G130" i="11"/>
  <c r="W130" i="11"/>
  <c r="AM130" i="11"/>
  <c r="R151" i="11"/>
  <c r="AI130" i="11"/>
  <c r="Q130" i="11"/>
  <c r="AH129" i="11"/>
  <c r="O129" i="11"/>
  <c r="AE128" i="11"/>
  <c r="I128" i="11"/>
  <c r="H148" i="11"/>
  <c r="M148" i="11"/>
  <c r="Y151" i="11"/>
  <c r="AK146" i="11"/>
  <c r="AK147" i="11"/>
  <c r="AQ131" i="11"/>
  <c r="AQ208" i="11" s="1"/>
  <c r="AA131" i="11"/>
  <c r="AA208" i="11" s="1"/>
  <c r="K131" i="11"/>
  <c r="AH130" i="11"/>
  <c r="P130" i="11"/>
  <c r="AF129" i="11"/>
  <c r="J129" i="11"/>
  <c r="AD128" i="11"/>
  <c r="G128" i="11"/>
  <c r="V151" i="11"/>
  <c r="X149" i="11"/>
  <c r="Y149" i="11"/>
  <c r="Y223" i="11" s="1"/>
  <c r="AJ149" i="11"/>
  <c r="J131" i="11"/>
  <c r="AE129" i="11"/>
  <c r="H129" i="11"/>
  <c r="Y128" i="11"/>
  <c r="F128" i="11"/>
  <c r="AJ147" i="11"/>
  <c r="AN149" i="11"/>
  <c r="AO133" i="11"/>
  <c r="AG133" i="11"/>
  <c r="Y133" i="11"/>
  <c r="Q133" i="11"/>
  <c r="I133" i="11"/>
  <c r="AN132" i="11"/>
  <c r="AF132" i="11"/>
  <c r="X132" i="11"/>
  <c r="P132" i="11"/>
  <c r="H132" i="11"/>
  <c r="O151" i="11"/>
  <c r="AA149" i="11"/>
  <c r="AM149" i="11"/>
  <c r="AN133" i="11"/>
  <c r="AF133" i="11"/>
  <c r="X133" i="11"/>
  <c r="X225" i="11" s="1"/>
  <c r="P133" i="11"/>
  <c r="H133" i="11"/>
  <c r="AM132" i="11"/>
  <c r="AE132" i="11"/>
  <c r="W132" i="11"/>
  <c r="O132" i="11"/>
  <c r="G132" i="11"/>
  <c r="N147" i="11"/>
  <c r="Z150" i="11"/>
  <c r="AF148" i="11"/>
  <c r="AF222" i="11" s="1"/>
  <c r="AM133" i="11"/>
  <c r="AE133" i="11"/>
  <c r="W133" i="11"/>
  <c r="O133" i="11"/>
  <c r="AL132" i="11"/>
  <c r="AD132" i="11"/>
  <c r="V132" i="11"/>
  <c r="N132" i="11"/>
  <c r="AP151" i="11"/>
  <c r="K151" i="11"/>
  <c r="R150" i="11"/>
  <c r="L149" i="11"/>
  <c r="X147" i="11"/>
  <c r="AC146" i="11"/>
  <c r="AI151" i="11"/>
  <c r="AI225" i="11" s="1"/>
  <c r="J151" i="11"/>
  <c r="Q150" i="11"/>
  <c r="AQ148" i="11"/>
  <c r="AQ222" i="11" s="1"/>
  <c r="W147" i="11"/>
  <c r="V146" i="11"/>
  <c r="AH151" i="11"/>
  <c r="AH225" i="11" s="1"/>
  <c r="AP150" i="11"/>
  <c r="J150" i="11"/>
  <c r="AD148" i="11"/>
  <c r="V147" i="11"/>
  <c r="AG151" i="11"/>
  <c r="AO150" i="11"/>
  <c r="H150" i="11"/>
  <c r="AC148" i="11"/>
  <c r="AC222" i="11" s="1"/>
  <c r="H147" i="11"/>
  <c r="K146" i="11"/>
  <c r="AE150" i="11"/>
  <c r="X148" i="11"/>
  <c r="E147" i="11"/>
  <c r="E148" i="11"/>
  <c r="I150" i="11"/>
  <c r="I224" i="11" s="1"/>
  <c r="P146" i="11"/>
  <c r="P220" i="11" s="1"/>
  <c r="P147" i="11"/>
  <c r="T150" i="11"/>
  <c r="T148" i="11"/>
  <c r="AB147" i="11"/>
  <c r="AB150" i="11"/>
  <c r="AB146" i="11"/>
  <c r="AB220" i="11" s="1"/>
  <c r="AB148" i="11"/>
  <c r="AL147" i="11"/>
  <c r="AL146" i="11"/>
  <c r="AL150" i="11"/>
  <c r="AN150" i="11"/>
  <c r="AM148" i="11"/>
  <c r="AA146" i="11"/>
  <c r="G147" i="11"/>
  <c r="G151" i="11"/>
  <c r="Y147" i="11"/>
  <c r="Y146" i="11"/>
  <c r="Y148" i="11"/>
  <c r="D149" i="11"/>
  <c r="AF151" i="11"/>
  <c r="T151" i="11"/>
  <c r="AM150" i="11"/>
  <c r="AA150" i="11"/>
  <c r="AL148" i="11"/>
  <c r="T147" i="11"/>
  <c r="G146" i="11"/>
  <c r="F147" i="11"/>
  <c r="F146" i="11"/>
  <c r="F150" i="11"/>
  <c r="L150" i="11"/>
  <c r="L148" i="11"/>
  <c r="X146" i="11"/>
  <c r="AJ146" i="11"/>
  <c r="AJ150" i="11"/>
  <c r="AJ148" i="11"/>
  <c r="D150" i="11"/>
  <c r="AO151" i="11"/>
  <c r="AO225" i="11" s="1"/>
  <c r="AD151" i="11"/>
  <c r="AD225" i="11" s="1"/>
  <c r="S151" i="11"/>
  <c r="S225" i="11" s="1"/>
  <c r="I151" i="11"/>
  <c r="AK150" i="11"/>
  <c r="P150" i="11"/>
  <c r="P224" i="11" s="1"/>
  <c r="E150" i="11"/>
  <c r="E224" i="11" s="1"/>
  <c r="W149" i="11"/>
  <c r="AK148" i="11"/>
  <c r="O147" i="11"/>
  <c r="AM146" i="11"/>
  <c r="U146" i="11"/>
  <c r="E146" i="11"/>
  <c r="AA148" i="11"/>
  <c r="E151" i="11"/>
  <c r="E149" i="11"/>
  <c r="AI146" i="11"/>
  <c r="AI149" i="11"/>
  <c r="AI223" i="11" s="1"/>
  <c r="D151" i="11"/>
  <c r="AN151" i="11"/>
  <c r="AN225" i="11" s="1"/>
  <c r="AB151" i="11"/>
  <c r="H151" i="11"/>
  <c r="AI150" i="11"/>
  <c r="Y150" i="11"/>
  <c r="Y224" i="11" s="1"/>
  <c r="O150" i="11"/>
  <c r="AP149" i="11"/>
  <c r="AF149" i="11"/>
  <c r="V149" i="11"/>
  <c r="H149" i="11"/>
  <c r="AI148" i="11"/>
  <c r="AF147" i="11"/>
  <c r="T146" i="11"/>
  <c r="T220" i="11" s="1"/>
  <c r="N146" i="11"/>
  <c r="N150" i="11"/>
  <c r="N224" i="11" s="1"/>
  <c r="Z147" i="11"/>
  <c r="Z146" i="11"/>
  <c r="Z148" i="11"/>
  <c r="H146" i="11"/>
  <c r="M146" i="11"/>
  <c r="M151" i="11"/>
  <c r="M149" i="11"/>
  <c r="G150" i="11"/>
  <c r="K149" i="11"/>
  <c r="K147" i="11"/>
  <c r="J147" i="11"/>
  <c r="J149" i="11"/>
  <c r="J148" i="11"/>
  <c r="V150" i="11"/>
  <c r="V224" i="11" s="1"/>
  <c r="AP147" i="11"/>
  <c r="AP148" i="11"/>
  <c r="AP222" i="11" s="1"/>
  <c r="AH147" i="11"/>
  <c r="AH148" i="11"/>
  <c r="AL151" i="11"/>
  <c r="AA151" i="11"/>
  <c r="F151" i="11"/>
  <c r="AH150" i="11"/>
  <c r="X150" i="11"/>
  <c r="M150" i="11"/>
  <c r="T149" i="11"/>
  <c r="G149" i="11"/>
  <c r="G148" i="11"/>
  <c r="AD147" i="11"/>
  <c r="M147" i="11"/>
  <c r="AH146" i="11"/>
  <c r="S146" i="11"/>
  <c r="AF146" i="11"/>
  <c r="AF220" i="11" s="1"/>
  <c r="D148" i="11"/>
  <c r="D222" i="11" s="1"/>
  <c r="N149" i="11"/>
  <c r="N148" i="11"/>
  <c r="AK151" i="11"/>
  <c r="AK149" i="11"/>
  <c r="S147" i="11"/>
  <c r="S149" i="11"/>
  <c r="S223" i="11" s="1"/>
  <c r="AE147" i="11"/>
  <c r="AE151" i="11"/>
  <c r="W146" i="11"/>
  <c r="W151" i="11"/>
  <c r="AQ149" i="11"/>
  <c r="AQ147" i="11"/>
  <c r="R147" i="11"/>
  <c r="R149" i="11"/>
  <c r="R148" i="11"/>
  <c r="R222" i="11" s="1"/>
  <c r="R146" i="11"/>
  <c r="Q147" i="11"/>
  <c r="Q146" i="11"/>
  <c r="Q220" i="11" s="1"/>
  <c r="Q148" i="11"/>
  <c r="I147" i="11"/>
  <c r="I146" i="11"/>
  <c r="I148" i="11"/>
  <c r="AC147" i="11"/>
  <c r="AC151" i="11"/>
  <c r="AC149" i="11"/>
  <c r="U151" i="11"/>
  <c r="U147" i="11"/>
  <c r="U149" i="11"/>
  <c r="AO147" i="11"/>
  <c r="AO146" i="11"/>
  <c r="AO148" i="11"/>
  <c r="AG147" i="11"/>
  <c r="AG146" i="11"/>
  <c r="AG148" i="11"/>
  <c r="AG222" i="11" s="1"/>
  <c r="AJ151" i="11"/>
  <c r="Z151" i="11"/>
  <c r="P151" i="11"/>
  <c r="AQ150" i="11"/>
  <c r="AG150" i="11"/>
  <c r="W150" i="11"/>
  <c r="K150" i="11"/>
  <c r="K224" i="11" s="1"/>
  <c r="AD149" i="11"/>
  <c r="AD223" i="11" s="1"/>
  <c r="Q149" i="11"/>
  <c r="F149" i="11"/>
  <c r="AE148" i="11"/>
  <c r="S148" i="11"/>
  <c r="F148" i="11"/>
  <c r="AA147" i="11"/>
  <c r="L147" i="11"/>
  <c r="AE146" i="11"/>
  <c r="O146" i="11"/>
  <c r="AN146" i="11"/>
  <c r="D146" i="11"/>
  <c r="N151" i="11"/>
  <c r="AF150" i="11"/>
  <c r="AB149" i="11"/>
  <c r="P149" i="11"/>
  <c r="P148" i="11"/>
  <c r="AM147" i="11"/>
  <c r="AM151" i="11"/>
  <c r="D147" i="11"/>
  <c r="AL149" i="11"/>
  <c r="Z149" i="11"/>
  <c r="O149" i="11"/>
  <c r="AN148" i="11"/>
  <c r="O148" i="11"/>
  <c r="AN147" i="11"/>
  <c r="AW113" i="11"/>
  <c r="AW112" i="11"/>
  <c r="AP223" i="11" l="1"/>
  <c r="AE220" i="11"/>
  <c r="G222" i="11"/>
  <c r="AL225" i="11"/>
  <c r="G224" i="11"/>
  <c r="AM220" i="11"/>
  <c r="AB222" i="11"/>
  <c r="L224" i="11"/>
  <c r="N225" i="11"/>
  <c r="X224" i="11"/>
  <c r="O224" i="11"/>
  <c r="AK222" i="11"/>
  <c r="K225" i="11"/>
  <c r="T223" i="11"/>
  <c r="AF224" i="11"/>
  <c r="W223" i="11"/>
  <c r="F220" i="11"/>
  <c r="AF225" i="11"/>
  <c r="AM222" i="11"/>
  <c r="I220" i="11"/>
  <c r="F225" i="11"/>
  <c r="T222" i="11"/>
  <c r="AN222" i="11"/>
  <c r="R224" i="11"/>
  <c r="Q223" i="11"/>
  <c r="AA222" i="11"/>
  <c r="AJ224" i="11"/>
  <c r="T224" i="11"/>
  <c r="AQ224" i="11"/>
  <c r="O220" i="11"/>
  <c r="AJ225" i="11"/>
  <c r="AQ223" i="11"/>
  <c r="AI222" i="11"/>
  <c r="H225" i="11"/>
  <c r="G220" i="11"/>
  <c r="J224" i="11"/>
  <c r="M222" i="11"/>
  <c r="R225" i="11"/>
  <c r="AG223" i="11"/>
  <c r="M225" i="11"/>
  <c r="AM225" i="11"/>
  <c r="AE224" i="11"/>
  <c r="O222" i="11"/>
  <c r="H223" i="11"/>
  <c r="AJ220" i="11"/>
  <c r="AN223" i="11"/>
  <c r="G223" i="11"/>
  <c r="U220" i="11"/>
  <c r="X220" i="11"/>
  <c r="AL222" i="11"/>
  <c r="X223" i="11"/>
  <c r="AD220" i="11"/>
  <c r="AO223" i="11"/>
  <c r="D224" i="11"/>
  <c r="Q224" i="11"/>
  <c r="AK223" i="11"/>
  <c r="AI224" i="11"/>
  <c r="AB225" i="11"/>
  <c r="E220" i="11"/>
  <c r="Y220" i="11"/>
  <c r="AL220" i="11"/>
  <c r="O223" i="11"/>
  <c r="D225" i="11"/>
  <c r="L222" i="11"/>
  <c r="G225" i="11"/>
  <c r="L223" i="11"/>
  <c r="Z223" i="11"/>
  <c r="AO220" i="11"/>
  <c r="I222" i="11"/>
  <c r="R223" i="11"/>
  <c r="K220" i="11"/>
  <c r="K222" i="11"/>
  <c r="AH223" i="11"/>
  <c r="AC224" i="11"/>
  <c r="AA225" i="11"/>
  <c r="AB223" i="11"/>
  <c r="AQ220" i="11"/>
  <c r="M223" i="11"/>
  <c r="U225" i="11"/>
  <c r="W225" i="11"/>
  <c r="AH224" i="11"/>
  <c r="AA224" i="11"/>
  <c r="Y222" i="11"/>
  <c r="AB224" i="11"/>
  <c r="H224" i="11"/>
  <c r="AM223" i="11"/>
  <c r="V225" i="11"/>
  <c r="F222" i="11"/>
  <c r="S220" i="11"/>
  <c r="J223" i="11"/>
  <c r="V223" i="11"/>
  <c r="AP225" i="11"/>
  <c r="D220" i="11"/>
  <c r="P225" i="11"/>
  <c r="W220" i="11"/>
  <c r="AM224" i="11"/>
  <c r="AO224" i="11"/>
  <c r="L220" i="11"/>
  <c r="J222" i="11"/>
  <c r="AN220" i="11"/>
  <c r="F223" i="11"/>
  <c r="R220" i="11"/>
  <c r="AE225" i="11"/>
  <c r="N222" i="11"/>
  <c r="AK224" i="11"/>
  <c r="AG225" i="11"/>
  <c r="H222" i="11"/>
  <c r="AG224" i="11"/>
  <c r="AO222" i="11"/>
  <c r="N223" i="11"/>
  <c r="K223" i="11"/>
  <c r="E223" i="11"/>
  <c r="I225" i="11"/>
  <c r="AJ222" i="11"/>
  <c r="X222" i="11"/>
  <c r="AJ223" i="11"/>
  <c r="AK220" i="11"/>
  <c r="M224" i="11"/>
  <c r="E225" i="11"/>
  <c r="J225" i="11"/>
  <c r="Y225" i="11"/>
  <c r="AQ225" i="11"/>
  <c r="AD222" i="11"/>
  <c r="Z220" i="11"/>
  <c r="W224" i="11"/>
  <c r="U223" i="11"/>
  <c r="AA220" i="11"/>
  <c r="AP224" i="11"/>
  <c r="Z224" i="11"/>
  <c r="AD224" i="11"/>
  <c r="Z222" i="11"/>
  <c r="Q222" i="11"/>
  <c r="D223" i="11"/>
  <c r="U222" i="11"/>
  <c r="W222" i="11"/>
  <c r="O225" i="11"/>
  <c r="S222" i="11"/>
  <c r="AK225" i="11"/>
  <c r="AH220" i="11"/>
  <c r="N220" i="11"/>
  <c r="AF223" i="11"/>
  <c r="AN224" i="11"/>
  <c r="E222" i="11"/>
  <c r="V220" i="11"/>
  <c r="AE223" i="11"/>
  <c r="J220" i="11"/>
  <c r="AL223" i="11"/>
  <c r="P222" i="11"/>
  <c r="AE222" i="11"/>
  <c r="AG220" i="11"/>
  <c r="AC223" i="11"/>
  <c r="AH222" i="11"/>
  <c r="M220" i="11"/>
  <c r="AI220" i="11"/>
  <c r="I223" i="11"/>
  <c r="AP220" i="11"/>
  <c r="P223" i="11"/>
  <c r="Z225" i="11"/>
  <c r="AC225" i="11"/>
  <c r="H220" i="11"/>
  <c r="F224" i="11"/>
  <c r="T225" i="11"/>
  <c r="AL224" i="11"/>
  <c r="AC220" i="11"/>
  <c r="AA223" i="11"/>
  <c r="S224" i="11"/>
  <c r="Q225" i="11"/>
  <c r="V222" i="11"/>
  <c r="D73" i="11"/>
  <c r="D72" i="11"/>
  <c r="D70" i="11"/>
  <c r="D53" i="11"/>
  <c r="E53" i="11"/>
  <c r="F53" i="11"/>
  <c r="G53" i="11"/>
  <c r="H53" i="11"/>
  <c r="I53" i="11"/>
  <c r="J53" i="11"/>
  <c r="K53" i="11"/>
  <c r="L53" i="11"/>
  <c r="M53" i="11"/>
  <c r="N53" i="11"/>
  <c r="O53" i="11"/>
  <c r="P53" i="11"/>
  <c r="Q53" i="11"/>
  <c r="R53" i="11"/>
  <c r="S53" i="11"/>
  <c r="T53" i="11"/>
  <c r="U53" i="11"/>
  <c r="V53" i="11"/>
  <c r="W53" i="11"/>
  <c r="X53" i="11"/>
  <c r="Y53" i="11"/>
  <c r="Z53" i="11"/>
  <c r="AA53" i="11"/>
  <c r="AB53" i="11"/>
  <c r="AC53" i="11"/>
  <c r="AD53" i="11"/>
  <c r="AE53" i="11"/>
  <c r="AF53" i="11"/>
  <c r="AG53" i="11"/>
  <c r="AH53" i="11"/>
  <c r="AI53" i="11"/>
  <c r="AJ53" i="11"/>
  <c r="AK53" i="11"/>
  <c r="AL53" i="11"/>
  <c r="AM53" i="11"/>
  <c r="AN53" i="11"/>
  <c r="AO53" i="11"/>
  <c r="AP53" i="11"/>
  <c r="AQ53" i="11"/>
  <c r="D54" i="11"/>
  <c r="E54" i="11"/>
  <c r="F54" i="11"/>
  <c r="G54" i="11"/>
  <c r="H54" i="11"/>
  <c r="I54" i="11"/>
  <c r="J54" i="11"/>
  <c r="K54" i="11"/>
  <c r="L54" i="11"/>
  <c r="M54" i="11"/>
  <c r="N54" i="11"/>
  <c r="O54" i="11"/>
  <c r="P54" i="11"/>
  <c r="Q54" i="11"/>
  <c r="R54" i="11"/>
  <c r="S54" i="11"/>
  <c r="T54" i="11"/>
  <c r="U54" i="11"/>
  <c r="V54" i="11"/>
  <c r="W54" i="11"/>
  <c r="X54" i="11"/>
  <c r="Y54" i="11"/>
  <c r="Z54" i="11"/>
  <c r="AA54" i="11"/>
  <c r="AB54" i="11"/>
  <c r="AC54" i="11"/>
  <c r="AD54" i="11"/>
  <c r="AE54" i="11"/>
  <c r="AF54" i="11"/>
  <c r="AG54" i="11"/>
  <c r="AH54" i="11"/>
  <c r="AI54" i="11"/>
  <c r="AJ54" i="11"/>
  <c r="AK54" i="11"/>
  <c r="AL54" i="11"/>
  <c r="AM54" i="11"/>
  <c r="AN54" i="11"/>
  <c r="AO54" i="11"/>
  <c r="AP54" i="11"/>
  <c r="AQ54" i="11"/>
  <c r="D55" i="11"/>
  <c r="E55" i="11"/>
  <c r="F55" i="11"/>
  <c r="G55" i="11"/>
  <c r="H55" i="11"/>
  <c r="I55" i="11"/>
  <c r="J55" i="11"/>
  <c r="K55" i="11"/>
  <c r="L55" i="11"/>
  <c r="M55" i="11"/>
  <c r="N55" i="11"/>
  <c r="O55" i="11"/>
  <c r="P55" i="11"/>
  <c r="Q55" i="11"/>
  <c r="R55" i="11"/>
  <c r="S55" i="11"/>
  <c r="T55" i="11"/>
  <c r="U55" i="11"/>
  <c r="V55" i="11"/>
  <c r="W55" i="11"/>
  <c r="X55" i="11"/>
  <c r="Y55" i="11"/>
  <c r="Z55" i="11"/>
  <c r="AA55" i="11"/>
  <c r="AB55" i="11"/>
  <c r="AC55" i="11"/>
  <c r="AD55" i="11"/>
  <c r="AE55" i="11"/>
  <c r="AF55" i="11"/>
  <c r="AG55" i="11"/>
  <c r="AH55" i="11"/>
  <c r="AI55" i="11"/>
  <c r="AJ55" i="11"/>
  <c r="AK55" i="11"/>
  <c r="AL55" i="11"/>
  <c r="AM55" i="11"/>
  <c r="AN55" i="11"/>
  <c r="AO55" i="11"/>
  <c r="AP55" i="11"/>
  <c r="AQ55" i="11"/>
  <c r="D56" i="11"/>
  <c r="E56" i="11"/>
  <c r="F56" i="11"/>
  <c r="G56" i="11"/>
  <c r="H56" i="11"/>
  <c r="I56" i="11"/>
  <c r="J56" i="11"/>
  <c r="K56" i="11"/>
  <c r="L56" i="11"/>
  <c r="M56" i="11"/>
  <c r="N56" i="11"/>
  <c r="O56" i="11"/>
  <c r="P56" i="11"/>
  <c r="Q56" i="11"/>
  <c r="R56" i="11"/>
  <c r="S56" i="11"/>
  <c r="T56" i="11"/>
  <c r="U56" i="11"/>
  <c r="V56" i="11"/>
  <c r="W56" i="11"/>
  <c r="X56" i="11"/>
  <c r="Y56" i="11"/>
  <c r="Z56" i="11"/>
  <c r="AA56" i="11"/>
  <c r="AB56" i="11"/>
  <c r="AC56" i="11"/>
  <c r="AD56" i="11"/>
  <c r="AE56" i="11"/>
  <c r="AF56" i="11"/>
  <c r="AG56" i="11"/>
  <c r="AH56" i="11"/>
  <c r="AI56" i="11"/>
  <c r="AJ56" i="11"/>
  <c r="AK56" i="11"/>
  <c r="AL56" i="11"/>
  <c r="AM56" i="11"/>
  <c r="AN56" i="11"/>
  <c r="AO56" i="11"/>
  <c r="AP56" i="11"/>
  <c r="AQ56" i="11"/>
  <c r="C58" i="11"/>
  <c r="E22" i="9"/>
  <c r="E23" i="9"/>
  <c r="E25" i="9"/>
  <c r="E12" i="9" s="1"/>
  <c r="E11" i="9" s="1"/>
  <c r="E30" i="9"/>
  <c r="E33" i="9" s="1"/>
  <c r="E36" i="9" s="1"/>
  <c r="E32" i="9"/>
  <c r="E35" i="9" s="1"/>
  <c r="E38" i="9"/>
  <c r="E48" i="9"/>
  <c r="E65" i="9"/>
  <c r="E66" i="9"/>
  <c r="E79" i="9"/>
  <c r="E83" i="9"/>
  <c r="E110" i="9"/>
  <c r="E115" i="9"/>
  <c r="E118" i="9"/>
  <c r="E120" i="9" s="1"/>
  <c r="J58" i="11" l="1"/>
  <c r="X58" i="11"/>
  <c r="Q58" i="11"/>
  <c r="P58" i="11"/>
  <c r="AN58" i="11"/>
  <c r="AJ58" i="11"/>
  <c r="AG58" i="11"/>
  <c r="L58" i="11"/>
  <c r="AF58" i="11"/>
  <c r="I58" i="11"/>
  <c r="AB58" i="11"/>
  <c r="H58" i="11"/>
  <c r="Y58" i="11"/>
  <c r="D58" i="11"/>
  <c r="AO58" i="11"/>
  <c r="T58" i="11"/>
  <c r="AQ58" i="11"/>
  <c r="AI58" i="11"/>
  <c r="AA58" i="11"/>
  <c r="S58" i="11"/>
  <c r="K58" i="11"/>
  <c r="AM58" i="11"/>
  <c r="AE58" i="11"/>
  <c r="W58" i="11"/>
  <c r="O58" i="11"/>
  <c r="G58" i="11"/>
  <c r="AL58" i="11"/>
  <c r="AD58" i="11"/>
  <c r="V58" i="11"/>
  <c r="N58" i="11"/>
  <c r="F58" i="11"/>
  <c r="AK58" i="11"/>
  <c r="AC58" i="11"/>
  <c r="U58" i="11"/>
  <c r="M58" i="11"/>
  <c r="E58" i="11"/>
  <c r="AP58" i="11"/>
  <c r="AH58" i="11"/>
  <c r="Z58" i="11"/>
  <c r="R58" i="11"/>
  <c r="E20" i="9"/>
  <c r="E34" i="9"/>
  <c r="E31" i="9"/>
  <c r="E64" i="9"/>
  <c r="E19" i="9" l="1"/>
  <c r="AQ91" i="11"/>
  <c r="AG91" i="11"/>
  <c r="AH91" i="11"/>
  <c r="AI91" i="11"/>
  <c r="AJ91" i="11"/>
  <c r="AK91" i="11"/>
  <c r="AL91" i="11"/>
  <c r="AM91" i="11"/>
  <c r="AN91" i="11"/>
  <c r="AO91" i="11"/>
  <c r="AP91" i="11"/>
  <c r="AF91" i="11"/>
  <c r="U91" i="11"/>
  <c r="V91" i="11"/>
  <c r="W91" i="11"/>
  <c r="X91" i="11"/>
  <c r="Y91" i="11"/>
  <c r="Z91" i="11"/>
  <c r="AA91" i="11"/>
  <c r="AB91" i="11"/>
  <c r="AC91" i="11"/>
  <c r="AD91" i="11"/>
  <c r="AE91" i="11"/>
  <c r="T91" i="11"/>
  <c r="I91" i="11"/>
  <c r="J91" i="11"/>
  <c r="K91" i="11"/>
  <c r="L91" i="11"/>
  <c r="M91" i="11"/>
  <c r="N91" i="11"/>
  <c r="O91" i="11"/>
  <c r="P91" i="11"/>
  <c r="Q91" i="11"/>
  <c r="R91" i="11"/>
  <c r="S91" i="11"/>
  <c r="H91" i="11"/>
  <c r="E91" i="11"/>
  <c r="F91" i="11"/>
  <c r="G91" i="11"/>
  <c r="D91" i="11"/>
  <c r="AG90" i="11"/>
  <c r="AH90" i="11"/>
  <c r="AI90" i="11"/>
  <c r="AJ90" i="11"/>
  <c r="AK90" i="11"/>
  <c r="AL90" i="11"/>
  <c r="AM90" i="11"/>
  <c r="AN90" i="11"/>
  <c r="AO90" i="11"/>
  <c r="AP90" i="11"/>
  <c r="AQ90" i="11"/>
  <c r="AF90" i="11"/>
  <c r="U90" i="11"/>
  <c r="V90" i="11"/>
  <c r="W90" i="11"/>
  <c r="X90" i="11"/>
  <c r="Y90" i="11"/>
  <c r="Z90" i="11"/>
  <c r="AA90" i="11"/>
  <c r="AB90" i="11"/>
  <c r="AC90" i="11"/>
  <c r="AD90" i="11"/>
  <c r="AE90" i="11"/>
  <c r="T90" i="11"/>
  <c r="I90" i="11"/>
  <c r="J90" i="11"/>
  <c r="K90" i="11"/>
  <c r="L90" i="11"/>
  <c r="M90" i="11"/>
  <c r="N90" i="11"/>
  <c r="O90" i="11"/>
  <c r="P90" i="11"/>
  <c r="Q90" i="11"/>
  <c r="R90" i="11"/>
  <c r="S90" i="11"/>
  <c r="H90" i="11"/>
  <c r="E90" i="11"/>
  <c r="F90" i="11"/>
  <c r="G90" i="11"/>
  <c r="D90" i="11"/>
  <c r="E107" i="11"/>
  <c r="F107" i="11"/>
  <c r="G107" i="11"/>
  <c r="D107" i="11"/>
  <c r="I107" i="11"/>
  <c r="J107" i="11"/>
  <c r="K107" i="11"/>
  <c r="L107" i="11"/>
  <c r="M107" i="11"/>
  <c r="N107" i="11"/>
  <c r="O107" i="11"/>
  <c r="P107" i="11"/>
  <c r="Q107" i="11"/>
  <c r="R107" i="11"/>
  <c r="S107" i="11"/>
  <c r="H107" i="11"/>
  <c r="U107" i="11"/>
  <c r="V107" i="11"/>
  <c r="W107" i="11"/>
  <c r="X107" i="11"/>
  <c r="Y107" i="11"/>
  <c r="Z107" i="11"/>
  <c r="AA107" i="11"/>
  <c r="AB107" i="11"/>
  <c r="AC107" i="11"/>
  <c r="AD107" i="11"/>
  <c r="AE107" i="11"/>
  <c r="T107" i="11"/>
  <c r="AG107" i="11"/>
  <c r="AH107" i="11"/>
  <c r="AI107" i="11"/>
  <c r="AJ107" i="11"/>
  <c r="AK107" i="11"/>
  <c r="AL107" i="11"/>
  <c r="AM107" i="11"/>
  <c r="AN107" i="11"/>
  <c r="AO107" i="11"/>
  <c r="AP107" i="11"/>
  <c r="AQ107" i="11"/>
  <c r="AF107" i="11"/>
  <c r="U106" i="11"/>
  <c r="V106" i="11"/>
  <c r="W106" i="11"/>
  <c r="X106" i="11"/>
  <c r="Y106" i="11"/>
  <c r="Z106" i="11"/>
  <c r="AA106" i="11"/>
  <c r="AB106" i="11"/>
  <c r="AC106" i="11"/>
  <c r="AD106" i="11"/>
  <c r="AE106" i="11"/>
  <c r="T106" i="11"/>
  <c r="AG106" i="11"/>
  <c r="AH106" i="11"/>
  <c r="AI106" i="11"/>
  <c r="AJ106" i="11"/>
  <c r="AK106" i="11"/>
  <c r="AL106" i="11"/>
  <c r="AM106" i="11"/>
  <c r="AN106" i="11"/>
  <c r="AO106" i="11"/>
  <c r="AP106" i="11"/>
  <c r="AQ106" i="11"/>
  <c r="AF106" i="11"/>
  <c r="I106" i="11"/>
  <c r="J106" i="11"/>
  <c r="K106" i="11"/>
  <c r="L106" i="11"/>
  <c r="M106" i="11"/>
  <c r="N106" i="11"/>
  <c r="O106" i="11"/>
  <c r="P106" i="11"/>
  <c r="Q106" i="11"/>
  <c r="R106" i="11"/>
  <c r="S106" i="11"/>
  <c r="H106" i="11"/>
  <c r="E106" i="11"/>
  <c r="F106" i="11"/>
  <c r="G106" i="11"/>
  <c r="H126" i="9"/>
  <c r="C112" i="11" s="1"/>
  <c r="C207" i="11" s="1"/>
  <c r="H128" i="9"/>
  <c r="C114" i="11" s="1"/>
  <c r="C209" i="11" s="1"/>
  <c r="H129" i="9"/>
  <c r="C115" i="11" s="1"/>
  <c r="C210" i="11" s="1"/>
  <c r="H124" i="9"/>
  <c r="H11" i="9"/>
  <c r="H83" i="9"/>
  <c r="H110" i="9"/>
  <c r="H118" i="9"/>
  <c r="H125" i="9" l="1"/>
  <c r="C111" i="11" s="1"/>
  <c r="C110" i="11"/>
  <c r="C205" i="11" s="1"/>
  <c r="AG114" i="11"/>
  <c r="AG209" i="11" s="1"/>
  <c r="J112" i="11"/>
  <c r="J207" i="11" s="1"/>
  <c r="AT113" i="11"/>
  <c r="AQ115" i="11"/>
  <c r="AQ210" i="11" s="1"/>
  <c r="H154" i="9"/>
  <c r="AT112" i="11"/>
  <c r="AU112" i="11" s="1"/>
  <c r="H120" i="9"/>
  <c r="H74" i="9"/>
  <c r="V110" i="11"/>
  <c r="V205" i="11" s="1"/>
  <c r="G113" i="11"/>
  <c r="G208" i="11" s="1"/>
  <c r="H113" i="11"/>
  <c r="H208" i="11" s="1"/>
  <c r="I113" i="11"/>
  <c r="I208" i="11" s="1"/>
  <c r="S113" i="11"/>
  <c r="S208" i="11" s="1"/>
  <c r="K113" i="11"/>
  <c r="K208" i="11" s="1"/>
  <c r="D113" i="11"/>
  <c r="D208" i="11" s="1"/>
  <c r="AE115" i="11"/>
  <c r="AE210" i="11" s="1"/>
  <c r="AO115" i="11"/>
  <c r="AO210" i="11" s="1"/>
  <c r="L113" i="11"/>
  <c r="L208" i="11" s="1"/>
  <c r="AG115" i="11"/>
  <c r="AG210" i="11" s="1"/>
  <c r="P115" i="11"/>
  <c r="P210" i="11" s="1"/>
  <c r="E113" i="11"/>
  <c r="E208" i="11" s="1"/>
  <c r="P113" i="11"/>
  <c r="P208" i="11" s="1"/>
  <c r="AD114" i="11"/>
  <c r="AD209" i="11" s="1"/>
  <c r="N113" i="11"/>
  <c r="N208" i="11" s="1"/>
  <c r="O115" i="11"/>
  <c r="O210" i="11" s="1"/>
  <c r="O113" i="11"/>
  <c r="O208" i="11" s="1"/>
  <c r="H78" i="9" l="1"/>
  <c r="Q113" i="11"/>
  <c r="Q208" i="11" s="1"/>
  <c r="L115" i="11"/>
  <c r="L210" i="11" s="1"/>
  <c r="M113" i="11"/>
  <c r="M208" i="11" s="1"/>
  <c r="AK115" i="11"/>
  <c r="AK210" i="11" s="1"/>
  <c r="R113" i="11"/>
  <c r="R208" i="11" s="1"/>
  <c r="F113" i="11"/>
  <c r="F208" i="11" s="1"/>
  <c r="AI115" i="11"/>
  <c r="AI210" i="11" s="1"/>
  <c r="J113" i="11"/>
  <c r="J208" i="11" s="1"/>
  <c r="W114" i="11"/>
  <c r="W209" i="11" s="1"/>
  <c r="M114" i="11"/>
  <c r="M209" i="11" s="1"/>
  <c r="H115" i="11"/>
  <c r="H210" i="11" s="1"/>
  <c r="X112" i="11"/>
  <c r="X207" i="11" s="1"/>
  <c r="V112" i="11"/>
  <c r="V207" i="11" s="1"/>
  <c r="M112" i="11"/>
  <c r="M207" i="11" s="1"/>
  <c r="AC114" i="11"/>
  <c r="AC209" i="11" s="1"/>
  <c r="AA114" i="11"/>
  <c r="AA209" i="11" s="1"/>
  <c r="G112" i="11"/>
  <c r="G207" i="11" s="1"/>
  <c r="AG112" i="11"/>
  <c r="AG207" i="11" s="1"/>
  <c r="I114" i="11"/>
  <c r="I209" i="11" s="1"/>
  <c r="AH114" i="11"/>
  <c r="AH209" i="11" s="1"/>
  <c r="F114" i="11"/>
  <c r="F209" i="11" s="1"/>
  <c r="S114" i="11"/>
  <c r="S209" i="11" s="1"/>
  <c r="AQ114" i="11"/>
  <c r="AQ209" i="11" s="1"/>
  <c r="AL114" i="11"/>
  <c r="AL209" i="11" s="1"/>
  <c r="G114" i="11"/>
  <c r="G209" i="11" s="1"/>
  <c r="AJ114" i="11"/>
  <c r="AJ209" i="11" s="1"/>
  <c r="AF112" i="11"/>
  <c r="AF207" i="11" s="1"/>
  <c r="T114" i="11"/>
  <c r="T209" i="11" s="1"/>
  <c r="L112" i="11"/>
  <c r="L207" i="11" s="1"/>
  <c r="AJ112" i="11"/>
  <c r="AJ207" i="11" s="1"/>
  <c r="I112" i="11"/>
  <c r="I207" i="11" s="1"/>
  <c r="AQ112" i="11"/>
  <c r="AQ207" i="11" s="1"/>
  <c r="K112" i="11"/>
  <c r="K207" i="11" s="1"/>
  <c r="AB114" i="11"/>
  <c r="AB209" i="11" s="1"/>
  <c r="R112" i="11"/>
  <c r="R207" i="11" s="1"/>
  <c r="X114" i="11"/>
  <c r="X209" i="11" s="1"/>
  <c r="AN114" i="11"/>
  <c r="AN209" i="11" s="1"/>
  <c r="V114" i="11"/>
  <c r="V209" i="11" s="1"/>
  <c r="E114" i="11"/>
  <c r="E209" i="11" s="1"/>
  <c r="Q114" i="11"/>
  <c r="Q209" i="11" s="1"/>
  <c r="Z112" i="11"/>
  <c r="Z207" i="11" s="1"/>
  <c r="U114" i="11"/>
  <c r="U209" i="11" s="1"/>
  <c r="AH112" i="11"/>
  <c r="AH207" i="11" s="1"/>
  <c r="N114" i="11"/>
  <c r="N209" i="11" s="1"/>
  <c r="AN112" i="11"/>
  <c r="AN207" i="11" s="1"/>
  <c r="U112" i="11"/>
  <c r="U207" i="11" s="1"/>
  <c r="AF114" i="11"/>
  <c r="AF209" i="11" s="1"/>
  <c r="AE114" i="11"/>
  <c r="AE209" i="11" s="1"/>
  <c r="Q112" i="11"/>
  <c r="Q207" i="11" s="1"/>
  <c r="E112" i="11"/>
  <c r="E207" i="11" s="1"/>
  <c r="J114" i="11"/>
  <c r="J209" i="11" s="1"/>
  <c r="AD112" i="11"/>
  <c r="AD207" i="11" s="1"/>
  <c r="W112" i="11"/>
  <c r="W207" i="11" s="1"/>
  <c r="P114" i="11"/>
  <c r="P209" i="11" s="1"/>
  <c r="AO112" i="11"/>
  <c r="AO207" i="11" s="1"/>
  <c r="AA112" i="11"/>
  <c r="AA207" i="11" s="1"/>
  <c r="AB112" i="11"/>
  <c r="AB207" i="11" s="1"/>
  <c r="P112" i="11"/>
  <c r="P207" i="11" s="1"/>
  <c r="AL112" i="11"/>
  <c r="AL207" i="11" s="1"/>
  <c r="Y112" i="11"/>
  <c r="Y207" i="11" s="1"/>
  <c r="L114" i="11"/>
  <c r="L209" i="11" s="1"/>
  <c r="O114" i="11"/>
  <c r="O209" i="11" s="1"/>
  <c r="F112" i="11"/>
  <c r="F207" i="11" s="1"/>
  <c r="AO114" i="11"/>
  <c r="AO209" i="11" s="1"/>
  <c r="AP112" i="11"/>
  <c r="AP207" i="11" s="1"/>
  <c r="AI114" i="11"/>
  <c r="AI209" i="11" s="1"/>
  <c r="AE112" i="11"/>
  <c r="AE207" i="11" s="1"/>
  <c r="D112" i="11"/>
  <c r="D207" i="11" s="1"/>
  <c r="R114" i="11"/>
  <c r="R209" i="11" s="1"/>
  <c r="S112" i="11"/>
  <c r="S207" i="11" s="1"/>
  <c r="AC112" i="11"/>
  <c r="AC207" i="11" s="1"/>
  <c r="AK112" i="11"/>
  <c r="AK207" i="11" s="1"/>
  <c r="K114" i="11"/>
  <c r="K209" i="11" s="1"/>
  <c r="T112" i="11"/>
  <c r="T207" i="11" s="1"/>
  <c r="Y114" i="11"/>
  <c r="Y209" i="11" s="1"/>
  <c r="O112" i="11"/>
  <c r="O207" i="11" s="1"/>
  <c r="AK114" i="11"/>
  <c r="AK209" i="11" s="1"/>
  <c r="N112" i="11"/>
  <c r="N207" i="11" s="1"/>
  <c r="AM112" i="11"/>
  <c r="AM207" i="11" s="1"/>
  <c r="Z114" i="11"/>
  <c r="Z209" i="11" s="1"/>
  <c r="D114" i="11"/>
  <c r="D209" i="11" s="1"/>
  <c r="AP114" i="11"/>
  <c r="AP209" i="11" s="1"/>
  <c r="AM114" i="11"/>
  <c r="AM209" i="11" s="1"/>
  <c r="AI112" i="11"/>
  <c r="AI207" i="11" s="1"/>
  <c r="H114" i="11"/>
  <c r="H209" i="11" s="1"/>
  <c r="H112" i="11"/>
  <c r="H207" i="11" s="1"/>
  <c r="T115" i="11"/>
  <c r="T210" i="11" s="1"/>
  <c r="N115" i="11"/>
  <c r="N210" i="11" s="1"/>
  <c r="F115" i="11"/>
  <c r="F210" i="11" s="1"/>
  <c r="I115" i="11"/>
  <c r="I210" i="11" s="1"/>
  <c r="K115" i="11"/>
  <c r="K210" i="11" s="1"/>
  <c r="S115" i="11"/>
  <c r="S210" i="11" s="1"/>
  <c r="AL115" i="11"/>
  <c r="AL210" i="11" s="1"/>
  <c r="Y115" i="11"/>
  <c r="Y210" i="11" s="1"/>
  <c r="U115" i="11"/>
  <c r="U210" i="11" s="1"/>
  <c r="W115" i="11"/>
  <c r="W210" i="11" s="1"/>
  <c r="AD115" i="11"/>
  <c r="AD210" i="11" s="1"/>
  <c r="Z115" i="11"/>
  <c r="Z210" i="11" s="1"/>
  <c r="AJ115" i="11"/>
  <c r="AJ210" i="11" s="1"/>
  <c r="AP115" i="11"/>
  <c r="AP210" i="11" s="1"/>
  <c r="M115" i="11"/>
  <c r="M210" i="11" s="1"/>
  <c r="D115" i="11"/>
  <c r="D210" i="11" s="1"/>
  <c r="V115" i="11"/>
  <c r="V210" i="11" s="1"/>
  <c r="AF115" i="11"/>
  <c r="AF210" i="11" s="1"/>
  <c r="AA115" i="11"/>
  <c r="AA210" i="11" s="1"/>
  <c r="AN115" i="11"/>
  <c r="AN210" i="11" s="1"/>
  <c r="AH115" i="11"/>
  <c r="AH210" i="11" s="1"/>
  <c r="R115" i="11"/>
  <c r="R210" i="11" s="1"/>
  <c r="J115" i="11"/>
  <c r="J210" i="11" s="1"/>
  <c r="E115" i="11"/>
  <c r="E210" i="11" s="1"/>
  <c r="Q115" i="11"/>
  <c r="Q210" i="11" s="1"/>
  <c r="AM115" i="11"/>
  <c r="AM210" i="11" s="1"/>
  <c r="AC115" i="11"/>
  <c r="AC210" i="11" s="1"/>
  <c r="G115" i="11"/>
  <c r="G210" i="11" s="1"/>
  <c r="AB115" i="11"/>
  <c r="AB210" i="11" s="1"/>
  <c r="X115" i="11"/>
  <c r="X210" i="11" s="1"/>
  <c r="AY118" i="11"/>
  <c r="AZ118" i="11" s="1"/>
  <c r="BA118" i="11" s="1"/>
  <c r="AU118" i="11"/>
  <c r="AU117" i="11"/>
  <c r="AY117" i="11"/>
  <c r="AZ117" i="11" s="1"/>
  <c r="BA117" i="11" s="1"/>
  <c r="AY112" i="11"/>
  <c r="AY113" i="11"/>
  <c r="AU113" i="11"/>
  <c r="AF111" i="11"/>
  <c r="E94" i="9"/>
  <c r="E17" i="9"/>
  <c r="E18" i="9"/>
  <c r="Y111" i="11"/>
  <c r="AD111" i="11"/>
  <c r="W111" i="11"/>
  <c r="AN111" i="11"/>
  <c r="AG111" i="11"/>
  <c r="AJ111" i="11"/>
  <c r="AM111" i="11"/>
  <c r="AI111" i="11"/>
  <c r="AP111" i="11"/>
  <c r="AA111" i="11"/>
  <c r="U111" i="11"/>
  <c r="Z111" i="11"/>
  <c r="AQ111" i="11"/>
  <c r="AO111" i="11"/>
  <c r="AB111" i="11"/>
  <c r="T111" i="11"/>
  <c r="X111" i="11"/>
  <c r="AE111" i="11"/>
  <c r="AL111" i="11"/>
  <c r="AC111" i="11"/>
  <c r="V111" i="11"/>
  <c r="AH111" i="11"/>
  <c r="AK111" i="11"/>
  <c r="H140" i="9"/>
  <c r="S110" i="11"/>
  <c r="S205" i="11" s="1"/>
  <c r="AN110" i="11"/>
  <c r="AN205" i="11" s="1"/>
  <c r="Z110" i="11"/>
  <c r="Z205" i="11" s="1"/>
  <c r="U110" i="11"/>
  <c r="U205" i="11" s="1"/>
  <c r="AH110" i="11"/>
  <c r="AH205" i="11" s="1"/>
  <c r="AE110" i="11"/>
  <c r="AE205" i="11" s="1"/>
  <c r="AD110" i="11"/>
  <c r="AD205" i="11" s="1"/>
  <c r="F110" i="11"/>
  <c r="F205" i="11" s="1"/>
  <c r="W110" i="11"/>
  <c r="W205" i="11" s="1"/>
  <c r="O110" i="11"/>
  <c r="O205" i="11" s="1"/>
  <c r="D110" i="11"/>
  <c r="AF110" i="11"/>
  <c r="AF205" i="11" s="1"/>
  <c r="AQ110" i="11"/>
  <c r="AQ205" i="11" s="1"/>
  <c r="AL110" i="11"/>
  <c r="AL205" i="11" s="1"/>
  <c r="AG110" i="11"/>
  <c r="AG205" i="11" s="1"/>
  <c r="P110" i="11"/>
  <c r="P205" i="11" s="1"/>
  <c r="T110" i="11"/>
  <c r="T205" i="11" s="1"/>
  <c r="R110" i="11"/>
  <c r="R205" i="11" s="1"/>
  <c r="AJ110" i="11"/>
  <c r="AJ205" i="11" s="1"/>
  <c r="AP110" i="11"/>
  <c r="AP205" i="11" s="1"/>
  <c r="G110" i="11"/>
  <c r="G205" i="11" s="1"/>
  <c r="M110" i="11"/>
  <c r="M205" i="11" s="1"/>
  <c r="H110" i="11"/>
  <c r="H205" i="11" s="1"/>
  <c r="E110" i="11"/>
  <c r="E205" i="11" s="1"/>
  <c r="L110" i="11"/>
  <c r="L205" i="11" s="1"/>
  <c r="J110" i="11"/>
  <c r="J205" i="11" s="1"/>
  <c r="AK110" i="11"/>
  <c r="AK205" i="11" s="1"/>
  <c r="I110" i="11"/>
  <c r="I205" i="11" s="1"/>
  <c r="AO110" i="11"/>
  <c r="AO205" i="11" s="1"/>
  <c r="AB110" i="11"/>
  <c r="AB205" i="11" s="1"/>
  <c r="Q110" i="11"/>
  <c r="Q205" i="11" s="1"/>
  <c r="N110" i="11"/>
  <c r="N205" i="11" s="1"/>
  <c r="AA110" i="11"/>
  <c r="AA205" i="11" s="1"/>
  <c r="AM110" i="11"/>
  <c r="AM205" i="11" s="1"/>
  <c r="X110" i="11"/>
  <c r="X205" i="11" s="1"/>
  <c r="AC110" i="11"/>
  <c r="AC205" i="11" s="1"/>
  <c r="AI110" i="11"/>
  <c r="AI205" i="11" s="1"/>
  <c r="Y110" i="11"/>
  <c r="Y205" i="11" s="1"/>
  <c r="K110" i="11"/>
  <c r="K205" i="11" s="1"/>
  <c r="D205" i="11" l="1"/>
  <c r="H141" i="9"/>
  <c r="H142" i="9" l="1"/>
  <c r="H143" i="9"/>
  <c r="H144" i="9" l="1"/>
  <c r="F118" i="9" l="1"/>
  <c r="F66" i="9"/>
  <c r="F23" i="9" l="1"/>
  <c r="H79" i="9" l="1"/>
  <c r="G25" i="9"/>
  <c r="G12" i="9" s="1"/>
  <c r="AQ89" i="11" l="1"/>
  <c r="AP89" i="11"/>
  <c r="AO89" i="11"/>
  <c r="AN89" i="11"/>
  <c r="AM89" i="11"/>
  <c r="AL89" i="11"/>
  <c r="AK89" i="11"/>
  <c r="AJ89" i="11"/>
  <c r="AI89" i="11"/>
  <c r="AH89" i="11"/>
  <c r="AG89" i="11"/>
  <c r="AF89" i="11"/>
  <c r="AE89" i="11"/>
  <c r="AD89" i="11"/>
  <c r="AC89" i="11"/>
  <c r="AB89" i="11"/>
  <c r="AA89" i="11"/>
  <c r="Z89" i="11"/>
  <c r="Y89" i="11"/>
  <c r="X89" i="11"/>
  <c r="W89" i="11"/>
  <c r="V89" i="11"/>
  <c r="U89" i="11"/>
  <c r="T89" i="11"/>
  <c r="S89" i="11"/>
  <c r="R89" i="11"/>
  <c r="Q89" i="11"/>
  <c r="P89" i="11"/>
  <c r="O89" i="11"/>
  <c r="N89" i="11"/>
  <c r="M89" i="11"/>
  <c r="L89" i="11"/>
  <c r="K89" i="11"/>
  <c r="J89" i="11"/>
  <c r="I89" i="11"/>
  <c r="H89" i="11"/>
  <c r="G89" i="11"/>
  <c r="F89" i="11"/>
  <c r="E89" i="11"/>
  <c r="D89" i="11"/>
  <c r="AQ71" i="11"/>
  <c r="AP71" i="11"/>
  <c r="AO71" i="11"/>
  <c r="AN71" i="11"/>
  <c r="AM71" i="11"/>
  <c r="AL71" i="11"/>
  <c r="AK71" i="11"/>
  <c r="AJ71" i="11"/>
  <c r="AI71" i="11"/>
  <c r="AH71" i="11"/>
  <c r="AG71" i="11"/>
  <c r="AF71" i="11"/>
  <c r="AE71" i="11"/>
  <c r="AD71" i="11"/>
  <c r="AC71" i="11"/>
  <c r="AB71" i="11"/>
  <c r="AA71" i="11"/>
  <c r="Z71" i="11"/>
  <c r="Y71" i="11"/>
  <c r="X71" i="11"/>
  <c r="W71" i="11"/>
  <c r="V71" i="11"/>
  <c r="U71" i="11"/>
  <c r="T71" i="11"/>
  <c r="S71" i="11"/>
  <c r="R71" i="11"/>
  <c r="Q71" i="11"/>
  <c r="P71" i="11"/>
  <c r="O71" i="11"/>
  <c r="N71" i="11"/>
  <c r="M71" i="11"/>
  <c r="L71" i="11"/>
  <c r="K71" i="11"/>
  <c r="J71" i="11"/>
  <c r="I71" i="11"/>
  <c r="H71" i="11"/>
  <c r="G71" i="11"/>
  <c r="F71" i="11"/>
  <c r="E71" i="11"/>
  <c r="D71" i="11"/>
  <c r="AQ88" i="11"/>
  <c r="AQ92" i="11" s="1"/>
  <c r="AQ190" i="11" s="1"/>
  <c r="AP88" i="11"/>
  <c r="AP92" i="11" s="1"/>
  <c r="AP190" i="11" s="1"/>
  <c r="AO88" i="11"/>
  <c r="AO92" i="11" s="1"/>
  <c r="AO190" i="11" s="1"/>
  <c r="AN88" i="11"/>
  <c r="AN92" i="11" s="1"/>
  <c r="AN190" i="11" s="1"/>
  <c r="AM88" i="11"/>
  <c r="AM92" i="11" s="1"/>
  <c r="AM190" i="11" s="1"/>
  <c r="AL88" i="11"/>
  <c r="AL92" i="11" s="1"/>
  <c r="AL190" i="11" s="1"/>
  <c r="AK88" i="11"/>
  <c r="AK92" i="11" s="1"/>
  <c r="AK190" i="11" s="1"/>
  <c r="AJ88" i="11"/>
  <c r="AJ92" i="11" s="1"/>
  <c r="AJ190" i="11" s="1"/>
  <c r="AI88" i="11"/>
  <c r="AI92" i="11" s="1"/>
  <c r="AI190" i="11" s="1"/>
  <c r="AH88" i="11"/>
  <c r="AH92" i="11" s="1"/>
  <c r="AH190" i="11" s="1"/>
  <c r="AG88" i="11"/>
  <c r="AG92" i="11" s="1"/>
  <c r="AG190" i="11" s="1"/>
  <c r="AF88" i="11"/>
  <c r="AF92" i="11" s="1"/>
  <c r="AF190" i="11" s="1"/>
  <c r="AE88" i="11"/>
  <c r="AE92" i="11" s="1"/>
  <c r="AE190" i="11" s="1"/>
  <c r="AD88" i="11"/>
  <c r="AD92" i="11" s="1"/>
  <c r="AD190" i="11" s="1"/>
  <c r="AC88" i="11"/>
  <c r="AC92" i="11" s="1"/>
  <c r="AC190" i="11" s="1"/>
  <c r="AB88" i="11"/>
  <c r="AB92" i="11" s="1"/>
  <c r="AB190" i="11" s="1"/>
  <c r="AA88" i="11"/>
  <c r="AA92" i="11" s="1"/>
  <c r="AA190" i="11" s="1"/>
  <c r="Z88" i="11"/>
  <c r="Z92" i="11" s="1"/>
  <c r="Z190" i="11" s="1"/>
  <c r="Y88" i="11"/>
  <c r="Y92" i="11" s="1"/>
  <c r="Y190" i="11" s="1"/>
  <c r="X88" i="11"/>
  <c r="X92" i="11" s="1"/>
  <c r="X190" i="11" s="1"/>
  <c r="W88" i="11"/>
  <c r="W92" i="11" s="1"/>
  <c r="W190" i="11" s="1"/>
  <c r="V88" i="11"/>
  <c r="V92" i="11" s="1"/>
  <c r="V190" i="11" s="1"/>
  <c r="U88" i="11"/>
  <c r="U92" i="11" s="1"/>
  <c r="U190" i="11" s="1"/>
  <c r="T88" i="11"/>
  <c r="T92" i="11" s="1"/>
  <c r="S88" i="11"/>
  <c r="S92" i="11" s="1"/>
  <c r="S190" i="11" s="1"/>
  <c r="R88" i="11"/>
  <c r="R92" i="11" s="1"/>
  <c r="R190" i="11" s="1"/>
  <c r="Q88" i="11"/>
  <c r="Q92" i="11" s="1"/>
  <c r="Q190" i="11" s="1"/>
  <c r="P88" i="11"/>
  <c r="P92" i="11" s="1"/>
  <c r="P190" i="11" s="1"/>
  <c r="O88" i="11"/>
  <c r="O92" i="11" s="1"/>
  <c r="O190" i="11" s="1"/>
  <c r="N88" i="11"/>
  <c r="N92" i="11" s="1"/>
  <c r="N190" i="11" s="1"/>
  <c r="M88" i="11"/>
  <c r="M92" i="11" s="1"/>
  <c r="M190" i="11" s="1"/>
  <c r="L88" i="11"/>
  <c r="L92" i="11" s="1"/>
  <c r="L190" i="11" s="1"/>
  <c r="K88" i="11"/>
  <c r="K92" i="11" s="1"/>
  <c r="K190" i="11" s="1"/>
  <c r="J88" i="11"/>
  <c r="J92" i="11" s="1"/>
  <c r="J190" i="11" s="1"/>
  <c r="I88" i="11"/>
  <c r="I92" i="11" s="1"/>
  <c r="I190" i="11" s="1"/>
  <c r="H88" i="11"/>
  <c r="H92" i="11" s="1"/>
  <c r="H190" i="11" s="1"/>
  <c r="G88" i="11"/>
  <c r="G92" i="11" s="1"/>
  <c r="G190" i="11" s="1"/>
  <c r="F88" i="11"/>
  <c r="F92" i="11" s="1"/>
  <c r="F190" i="11" s="1"/>
  <c r="E88" i="11"/>
  <c r="E92" i="11" s="1"/>
  <c r="E190" i="11" s="1"/>
  <c r="D88" i="11"/>
  <c r="D92" i="11" s="1"/>
  <c r="D190" i="11" s="1"/>
  <c r="AQ70" i="11"/>
  <c r="AP70" i="11"/>
  <c r="AO70" i="11"/>
  <c r="AN70" i="11"/>
  <c r="AM70" i="11"/>
  <c r="AL70" i="11"/>
  <c r="AK70" i="11"/>
  <c r="AJ70" i="11"/>
  <c r="AI70" i="11"/>
  <c r="AH70" i="11"/>
  <c r="AG70" i="11"/>
  <c r="AF70" i="11"/>
  <c r="AE70" i="11"/>
  <c r="AD70" i="11"/>
  <c r="AC70" i="11"/>
  <c r="AB70" i="11"/>
  <c r="AA70" i="11"/>
  <c r="Z70" i="11"/>
  <c r="Y70" i="11"/>
  <c r="X70" i="11"/>
  <c r="W70" i="11"/>
  <c r="V70" i="11"/>
  <c r="U70" i="11"/>
  <c r="T70" i="11"/>
  <c r="S70" i="11"/>
  <c r="R70" i="11"/>
  <c r="Q70" i="11"/>
  <c r="P70" i="11"/>
  <c r="O70" i="11"/>
  <c r="N70" i="11"/>
  <c r="M70" i="11"/>
  <c r="L70" i="11"/>
  <c r="K70" i="11"/>
  <c r="J70" i="11"/>
  <c r="I70" i="11"/>
  <c r="H70" i="11"/>
  <c r="G70" i="11"/>
  <c r="F70" i="11"/>
  <c r="E70" i="11"/>
  <c r="T190" i="11" l="1"/>
  <c r="G118" i="9"/>
  <c r="G120" i="9" l="1"/>
  <c r="G115" i="9"/>
  <c r="G110" i="9"/>
  <c r="G83" i="9"/>
  <c r="G79" i="9"/>
  <c r="G66" i="9"/>
  <c r="G65" i="9"/>
  <c r="G48" i="9"/>
  <c r="G38" i="9"/>
  <c r="G32" i="9"/>
  <c r="G35" i="9" s="1"/>
  <c r="G30" i="9"/>
  <c r="G154" i="9" l="1"/>
  <c r="G72" i="9" s="1"/>
  <c r="G33" i="9"/>
  <c r="G36" i="9" s="1"/>
  <c r="G34" i="9" s="1"/>
  <c r="G94" i="9"/>
  <c r="G11" i="9"/>
  <c r="G64" i="9"/>
  <c r="G31" i="9" l="1"/>
  <c r="G69" i="9"/>
  <c r="G140" i="9"/>
  <c r="G124" i="9" l="1"/>
  <c r="G141" i="9"/>
  <c r="C92" i="11" l="1"/>
  <c r="C190" i="11" s="1"/>
  <c r="G142" i="9"/>
  <c r="G71" i="9"/>
  <c r="E154" i="9"/>
  <c r="E140" i="9" l="1"/>
  <c r="E72" i="9"/>
  <c r="E69" i="9" s="1"/>
  <c r="G68" i="9"/>
  <c r="G143" i="9"/>
  <c r="E141" i="9" l="1"/>
  <c r="E124" i="9"/>
  <c r="E129" i="9"/>
  <c r="E128" i="9"/>
  <c r="G144" i="9"/>
  <c r="C60" i="11" l="1"/>
  <c r="C61" i="11"/>
  <c r="C57" i="11"/>
  <c r="E71" i="9"/>
  <c r="E68" i="9" s="1"/>
  <c r="E131" i="9" s="1"/>
  <c r="E142" i="9"/>
  <c r="E125" i="9"/>
  <c r="E127" i="9"/>
  <c r="K57" i="11" l="1"/>
  <c r="S57" i="11"/>
  <c r="AA57" i="11"/>
  <c r="AI57" i="11"/>
  <c r="AQ57" i="11"/>
  <c r="D57" i="11"/>
  <c r="L57" i="11"/>
  <c r="T57" i="11"/>
  <c r="AB57" i="11"/>
  <c r="AJ57" i="11"/>
  <c r="F57" i="11"/>
  <c r="N57" i="11"/>
  <c r="V57" i="11"/>
  <c r="AD57" i="11"/>
  <c r="AL57" i="11"/>
  <c r="G57" i="11"/>
  <c r="O57" i="11"/>
  <c r="W57" i="11"/>
  <c r="AE57" i="11"/>
  <c r="AM57" i="11"/>
  <c r="H57" i="11"/>
  <c r="P57" i="11"/>
  <c r="X57" i="11"/>
  <c r="AF57" i="11"/>
  <c r="AN57" i="11"/>
  <c r="I57" i="11"/>
  <c r="AC57" i="11"/>
  <c r="M57" i="11"/>
  <c r="AH57" i="11"/>
  <c r="Q57" i="11"/>
  <c r="AK57" i="11"/>
  <c r="R57" i="11"/>
  <c r="AO57" i="11"/>
  <c r="E57" i="11"/>
  <c r="J57" i="11"/>
  <c r="U57" i="11"/>
  <c r="AP57" i="11"/>
  <c r="Y57" i="11"/>
  <c r="Z57" i="11"/>
  <c r="AG57" i="11"/>
  <c r="G61" i="11"/>
  <c r="O61" i="11"/>
  <c r="W61" i="11"/>
  <c r="AE61" i="11"/>
  <c r="AM61" i="11"/>
  <c r="J61" i="11"/>
  <c r="R61" i="11"/>
  <c r="Z61" i="11"/>
  <c r="AH61" i="11"/>
  <c r="AP61" i="11"/>
  <c r="K61" i="11"/>
  <c r="S61" i="11"/>
  <c r="AA61" i="11"/>
  <c r="AI61" i="11"/>
  <c r="AQ61" i="11"/>
  <c r="D61" i="11"/>
  <c r="L61" i="11"/>
  <c r="T61" i="11"/>
  <c r="AB61" i="11"/>
  <c r="AJ61" i="11"/>
  <c r="M61" i="11"/>
  <c r="AC61" i="11"/>
  <c r="P61" i="11"/>
  <c r="AF61" i="11"/>
  <c r="Q61" i="11"/>
  <c r="AG61" i="11"/>
  <c r="E61" i="11"/>
  <c r="U61" i="11"/>
  <c r="AK61" i="11"/>
  <c r="N61" i="11"/>
  <c r="V61" i="11"/>
  <c r="X61" i="11"/>
  <c r="I61" i="11"/>
  <c r="Y61" i="11"/>
  <c r="AN61" i="11"/>
  <c r="AD61" i="11"/>
  <c r="H61" i="11"/>
  <c r="F61" i="11"/>
  <c r="AL61" i="11"/>
  <c r="AO61" i="11"/>
  <c r="C63" i="11"/>
  <c r="H60" i="11"/>
  <c r="P60" i="11"/>
  <c r="X60" i="11"/>
  <c r="AF60" i="11"/>
  <c r="AN60" i="11"/>
  <c r="K60" i="11"/>
  <c r="S60" i="11"/>
  <c r="AA60" i="11"/>
  <c r="AI60" i="11"/>
  <c r="AQ60" i="11"/>
  <c r="D60" i="11"/>
  <c r="L60" i="11"/>
  <c r="T60" i="11"/>
  <c r="AB60" i="11"/>
  <c r="AJ60" i="11"/>
  <c r="E60" i="11"/>
  <c r="M60" i="11"/>
  <c r="U60" i="11"/>
  <c r="AC60" i="11"/>
  <c r="AK60" i="11"/>
  <c r="F60" i="11"/>
  <c r="V60" i="11"/>
  <c r="AL60" i="11"/>
  <c r="I60" i="11"/>
  <c r="Y60" i="11"/>
  <c r="AO60" i="11"/>
  <c r="J60" i="11"/>
  <c r="Z60" i="11"/>
  <c r="AP60" i="11"/>
  <c r="N60" i="11"/>
  <c r="AD60" i="11"/>
  <c r="W60" i="11"/>
  <c r="AE60" i="11"/>
  <c r="AG60" i="11"/>
  <c r="Q60" i="11"/>
  <c r="AH60" i="11"/>
  <c r="G60" i="11"/>
  <c r="AM60" i="11"/>
  <c r="R60" i="11"/>
  <c r="O60" i="11"/>
  <c r="C59" i="11"/>
  <c r="E90" i="9"/>
  <c r="E91" i="9" s="1"/>
  <c r="E143" i="9"/>
  <c r="I59" i="11" l="1"/>
  <c r="Q59" i="11"/>
  <c r="Y59" i="11"/>
  <c r="AG59" i="11"/>
  <c r="AO59" i="11"/>
  <c r="D59" i="11"/>
  <c r="L59" i="11"/>
  <c r="T59" i="11"/>
  <c r="AB59" i="11"/>
  <c r="AJ59" i="11"/>
  <c r="E59" i="11"/>
  <c r="M59" i="11"/>
  <c r="U59" i="11"/>
  <c r="AC59" i="11"/>
  <c r="AK59" i="11"/>
  <c r="F59" i="11"/>
  <c r="N59" i="11"/>
  <c r="V59" i="11"/>
  <c r="AD59" i="11"/>
  <c r="AL59" i="11"/>
  <c r="O59" i="11"/>
  <c r="AE59" i="11"/>
  <c r="R59" i="11"/>
  <c r="AH59" i="11"/>
  <c r="S59" i="11"/>
  <c r="AI59" i="11"/>
  <c r="G59" i="11"/>
  <c r="W59" i="11"/>
  <c r="AM59" i="11"/>
  <c r="AF59" i="11"/>
  <c r="H59" i="11"/>
  <c r="AN59" i="11"/>
  <c r="J59" i="11"/>
  <c r="AP59" i="11"/>
  <c r="Z59" i="11"/>
  <c r="K59" i="11"/>
  <c r="AQ59" i="11"/>
  <c r="AA59" i="11"/>
  <c r="P59" i="11"/>
  <c r="X59" i="11"/>
  <c r="E63" i="11"/>
  <c r="M63" i="11"/>
  <c r="U63" i="11"/>
  <c r="AC63" i="11"/>
  <c r="AK63" i="11"/>
  <c r="H63" i="11"/>
  <c r="P63" i="11"/>
  <c r="X63" i="11"/>
  <c r="AF63" i="11"/>
  <c r="AN63" i="11"/>
  <c r="I63" i="11"/>
  <c r="Q63" i="11"/>
  <c r="Y63" i="11"/>
  <c r="AG63" i="11"/>
  <c r="AO63" i="11"/>
  <c r="J63" i="11"/>
  <c r="R63" i="11"/>
  <c r="Z63" i="11"/>
  <c r="AH63" i="11"/>
  <c r="AP63" i="11"/>
  <c r="K63" i="11"/>
  <c r="AA63" i="11"/>
  <c r="AQ63" i="11"/>
  <c r="N63" i="11"/>
  <c r="AD63" i="11"/>
  <c r="O63" i="11"/>
  <c r="AE63" i="11"/>
  <c r="S63" i="11"/>
  <c r="AI63" i="11"/>
  <c r="AB63" i="11"/>
  <c r="D63" i="11"/>
  <c r="AJ63" i="11"/>
  <c r="F63" i="11"/>
  <c r="AL63" i="11"/>
  <c r="G63" i="11"/>
  <c r="AM63" i="11"/>
  <c r="L63" i="11"/>
  <c r="W63" i="11"/>
  <c r="T63" i="11"/>
  <c r="V63" i="11"/>
  <c r="E144" i="9"/>
  <c r="F30" i="9"/>
  <c r="F20" i="9" l="1"/>
  <c r="F19" i="9" s="1"/>
  <c r="C34" i="13" l="1"/>
  <c r="C33" i="13"/>
  <c r="F120" i="9" l="1"/>
  <c r="F115" i="9"/>
  <c r="F110" i="9"/>
  <c r="F83" i="9"/>
  <c r="F79" i="9"/>
  <c r="F65" i="9"/>
  <c r="F64" i="9" s="1"/>
  <c r="F48" i="9"/>
  <c r="F38" i="9"/>
  <c r="F32" i="9"/>
  <c r="F35" i="9" s="1"/>
  <c r="F33" i="9"/>
  <c r="F36" i="9" s="1"/>
  <c r="F25" i="9"/>
  <c r="F12" i="9" s="1"/>
  <c r="F11" i="9" s="1"/>
  <c r="F34" i="9" l="1"/>
  <c r="F154" i="9"/>
  <c r="F72" i="9" s="1"/>
  <c r="F31" i="9"/>
  <c r="G128" i="9" l="1"/>
  <c r="G129" i="9"/>
  <c r="F140" i="9"/>
  <c r="F69" i="9"/>
  <c r="C97" i="11" l="1"/>
  <c r="C195" i="11" s="1"/>
  <c r="C96" i="11"/>
  <c r="C194" i="11" s="1"/>
  <c r="F18" i="9"/>
  <c r="F17" i="9"/>
  <c r="F141" i="9"/>
  <c r="G125" i="9"/>
  <c r="C93" i="11" s="1"/>
  <c r="C191" i="11" s="1"/>
  <c r="G127" i="9"/>
  <c r="F94" i="9"/>
  <c r="Z97" i="11" l="1"/>
  <c r="Z195" i="11" s="1"/>
  <c r="F97" i="11"/>
  <c r="F195" i="11" s="1"/>
  <c r="U97" i="11"/>
  <c r="U195" i="11" s="1"/>
  <c r="S97" i="11"/>
  <c r="S195" i="11" s="1"/>
  <c r="Y97" i="11"/>
  <c r="Y195" i="11" s="1"/>
  <c r="G97" i="11"/>
  <c r="G195" i="11" s="1"/>
  <c r="AG97" i="11"/>
  <c r="AG195" i="11" s="1"/>
  <c r="O97" i="11"/>
  <c r="O195" i="11" s="1"/>
  <c r="AQ97" i="11"/>
  <c r="AQ195" i="11" s="1"/>
  <c r="AE97" i="11"/>
  <c r="AE195" i="11" s="1"/>
  <c r="E97" i="11"/>
  <c r="E195" i="11" s="1"/>
  <c r="V97" i="11"/>
  <c r="V195" i="11" s="1"/>
  <c r="I97" i="11"/>
  <c r="I195" i="11" s="1"/>
  <c r="N97" i="11"/>
  <c r="N195" i="11" s="1"/>
  <c r="AA97" i="11"/>
  <c r="AA195" i="11" s="1"/>
  <c r="AI97" i="11"/>
  <c r="AI195" i="11" s="1"/>
  <c r="AO97" i="11"/>
  <c r="AO195" i="11" s="1"/>
  <c r="X97" i="11"/>
  <c r="X195" i="11" s="1"/>
  <c r="J97" i="11"/>
  <c r="J195" i="11" s="1"/>
  <c r="T97" i="11"/>
  <c r="T195" i="11" s="1"/>
  <c r="R97" i="11"/>
  <c r="R195" i="11" s="1"/>
  <c r="AJ97" i="11"/>
  <c r="AJ195" i="11" s="1"/>
  <c r="AF97" i="11"/>
  <c r="AF195" i="11" s="1"/>
  <c r="H97" i="11"/>
  <c r="H195" i="11" s="1"/>
  <c r="M97" i="11"/>
  <c r="M195" i="11" s="1"/>
  <c r="W97" i="11"/>
  <c r="W195" i="11" s="1"/>
  <c r="AN97" i="11"/>
  <c r="AN195" i="11" s="1"/>
  <c r="AH97" i="11"/>
  <c r="AH195" i="11" s="1"/>
  <c r="D97" i="11"/>
  <c r="AC97" i="11"/>
  <c r="AC195" i="11" s="1"/>
  <c r="AM97" i="11"/>
  <c r="AM195" i="11" s="1"/>
  <c r="Q97" i="11"/>
  <c r="Q195" i="11" s="1"/>
  <c r="AP97" i="11"/>
  <c r="AP195" i="11" s="1"/>
  <c r="L97" i="11"/>
  <c r="L195" i="11" s="1"/>
  <c r="AK97" i="11"/>
  <c r="AK195" i="11" s="1"/>
  <c r="AD97" i="11"/>
  <c r="AD195" i="11" s="1"/>
  <c r="C95" i="11"/>
  <c r="I95" i="11" s="1"/>
  <c r="I193" i="11" s="1"/>
  <c r="K97" i="11"/>
  <c r="K195" i="11" s="1"/>
  <c r="AB97" i="11"/>
  <c r="AB195" i="11" s="1"/>
  <c r="AL97" i="11"/>
  <c r="AL195" i="11" s="1"/>
  <c r="P97" i="11"/>
  <c r="P195" i="11" s="1"/>
  <c r="T193" i="11"/>
  <c r="Z96" i="11"/>
  <c r="Z194" i="11" s="1"/>
  <c r="J96" i="11"/>
  <c r="J194" i="11" s="1"/>
  <c r="Y96" i="11"/>
  <c r="Y194" i="11" s="1"/>
  <c r="T96" i="11"/>
  <c r="AH96" i="11"/>
  <c r="AH194" i="11" s="1"/>
  <c r="L96" i="11"/>
  <c r="L194" i="11" s="1"/>
  <c r="M96" i="11"/>
  <c r="M194" i="11" s="1"/>
  <c r="F96" i="11"/>
  <c r="F194" i="11" s="1"/>
  <c r="Q96" i="11"/>
  <c r="Q194" i="11" s="1"/>
  <c r="AN96" i="11"/>
  <c r="AN194" i="11" s="1"/>
  <c r="AG96" i="11"/>
  <c r="AG194" i="11" s="1"/>
  <c r="AC96" i="11"/>
  <c r="AC194" i="11" s="1"/>
  <c r="AF96" i="11"/>
  <c r="D96" i="11"/>
  <c r="P96" i="11"/>
  <c r="P194" i="11" s="1"/>
  <c r="S96" i="11"/>
  <c r="S194" i="11" s="1"/>
  <c r="G96" i="11"/>
  <c r="G194" i="11" s="1"/>
  <c r="AI96" i="11"/>
  <c r="AI194" i="11" s="1"/>
  <c r="AM96" i="11"/>
  <c r="AM194" i="11" s="1"/>
  <c r="AE96" i="11"/>
  <c r="AE194" i="11" s="1"/>
  <c r="N96" i="11"/>
  <c r="N194" i="11" s="1"/>
  <c r="R96" i="11"/>
  <c r="R194" i="11" s="1"/>
  <c r="AJ96" i="11"/>
  <c r="AJ194" i="11" s="1"/>
  <c r="V96" i="11"/>
  <c r="V194" i="11" s="1"/>
  <c r="I96" i="11"/>
  <c r="I194" i="11" s="1"/>
  <c r="AP96" i="11"/>
  <c r="AP194" i="11" s="1"/>
  <c r="U96" i="11"/>
  <c r="U194" i="11" s="1"/>
  <c r="H96" i="11"/>
  <c r="AO96" i="11"/>
  <c r="AO194" i="11" s="1"/>
  <c r="AQ96" i="11"/>
  <c r="AQ194" i="11" s="1"/>
  <c r="AK96" i="11"/>
  <c r="AK194" i="11" s="1"/>
  <c r="X96" i="11"/>
  <c r="X194" i="11" s="1"/>
  <c r="W96" i="11"/>
  <c r="W194" i="11" s="1"/>
  <c r="K96" i="11"/>
  <c r="K194" i="11" s="1"/>
  <c r="AB96" i="11"/>
  <c r="AB194" i="11" s="1"/>
  <c r="AD96" i="11"/>
  <c r="AD194" i="11" s="1"/>
  <c r="AL96" i="11"/>
  <c r="AL194" i="11" s="1"/>
  <c r="AA96" i="11"/>
  <c r="AA194" i="11" s="1"/>
  <c r="E96" i="11"/>
  <c r="E194" i="11" s="1"/>
  <c r="O96" i="11"/>
  <c r="O194" i="11" s="1"/>
  <c r="V193" i="11"/>
  <c r="AN193" i="11"/>
  <c r="X193" i="11"/>
  <c r="AL193" i="11"/>
  <c r="AD193" i="11"/>
  <c r="U193" i="11"/>
  <c r="AJ193" i="11"/>
  <c r="AB193" i="11"/>
  <c r="AQ193" i="11"/>
  <c r="AA193" i="11"/>
  <c r="AH193" i="11"/>
  <c r="AO193" i="11"/>
  <c r="AG193" i="11"/>
  <c r="F71" i="9"/>
  <c r="F142" i="9"/>
  <c r="N95" i="11" l="1"/>
  <c r="N193" i="11" s="1"/>
  <c r="K95" i="11"/>
  <c r="K193" i="11" s="1"/>
  <c r="H95" i="11"/>
  <c r="J95" i="11"/>
  <c r="J193" i="11" s="1"/>
  <c r="P95" i="11"/>
  <c r="P193" i="11" s="1"/>
  <c r="R95" i="11"/>
  <c r="R193" i="11" s="1"/>
  <c r="E95" i="11"/>
  <c r="E193" i="11" s="1"/>
  <c r="S95" i="11"/>
  <c r="S193" i="11" s="1"/>
  <c r="O95" i="11"/>
  <c r="O193" i="11" s="1"/>
  <c r="D195" i="11"/>
  <c r="G95" i="11"/>
  <c r="G193" i="11" s="1"/>
  <c r="T194" i="11"/>
  <c r="H194" i="11"/>
  <c r="H193" i="11"/>
  <c r="C193" i="11"/>
  <c r="D194" i="11"/>
  <c r="AF194" i="11"/>
  <c r="Q93" i="11"/>
  <c r="AQ93" i="11"/>
  <c r="AQ191" i="11" s="1"/>
  <c r="M93" i="11"/>
  <c r="I93" i="11"/>
  <c r="AP93" i="11"/>
  <c r="AP191" i="11" s="1"/>
  <c r="AC93" i="11"/>
  <c r="AC191" i="11" s="1"/>
  <c r="L93" i="11"/>
  <c r="AM93" i="11"/>
  <c r="AM191" i="11" s="1"/>
  <c r="O93" i="11"/>
  <c r="D93" i="11"/>
  <c r="AK93" i="11"/>
  <c r="AK191" i="11" s="1"/>
  <c r="AF93" i="11"/>
  <c r="AI93" i="11"/>
  <c r="AI191" i="11" s="1"/>
  <c r="U93" i="11"/>
  <c r="U191" i="11" s="1"/>
  <c r="H93" i="11"/>
  <c r="Y93" i="11"/>
  <c r="Y191" i="11" s="1"/>
  <c r="AA93" i="11"/>
  <c r="AA191" i="11" s="1"/>
  <c r="K93" i="11"/>
  <c r="X93" i="11"/>
  <c r="X191" i="11" s="1"/>
  <c r="AE93" i="11"/>
  <c r="AE191" i="11" s="1"/>
  <c r="AO93" i="11"/>
  <c r="AO191" i="11" s="1"/>
  <c r="P93" i="11"/>
  <c r="R93" i="11"/>
  <c r="F93" i="11"/>
  <c r="J93" i="11"/>
  <c r="AL93" i="11"/>
  <c r="AL191" i="11" s="1"/>
  <c r="AD93" i="11"/>
  <c r="AD191" i="11" s="1"/>
  <c r="Z93" i="11"/>
  <c r="Z191" i="11" s="1"/>
  <c r="S93" i="11"/>
  <c r="AB93" i="11"/>
  <c r="AB191" i="11" s="1"/>
  <c r="AH93" i="11"/>
  <c r="AH191" i="11" s="1"/>
  <c r="G93" i="11"/>
  <c r="W93" i="11"/>
  <c r="W191" i="11" s="1"/>
  <c r="V93" i="11"/>
  <c r="V191" i="11" s="1"/>
  <c r="AG93" i="11"/>
  <c r="AG191" i="11" s="1"/>
  <c r="N93" i="11"/>
  <c r="E93" i="11"/>
  <c r="T93" i="11"/>
  <c r="AJ93" i="11"/>
  <c r="AJ191" i="11" s="1"/>
  <c r="AN93" i="11"/>
  <c r="AN191" i="11" s="1"/>
  <c r="Z193" i="11"/>
  <c r="AI193" i="11"/>
  <c r="M95" i="11"/>
  <c r="M193" i="11" s="1"/>
  <c r="W193" i="11"/>
  <c r="AE193" i="11"/>
  <c r="Q95" i="11"/>
  <c r="Q193" i="11" s="1"/>
  <c r="AP193" i="11"/>
  <c r="D95" i="11"/>
  <c r="AC193" i="11"/>
  <c r="AM193" i="11"/>
  <c r="Y193" i="11"/>
  <c r="F95" i="11"/>
  <c r="F193" i="11" s="1"/>
  <c r="L95" i="11"/>
  <c r="L193" i="11" s="1"/>
  <c r="AK193" i="11"/>
  <c r="F68" i="9"/>
  <c r="F143" i="9"/>
  <c r="D193" i="11" l="1"/>
  <c r="AF191" i="11"/>
  <c r="T191" i="11"/>
  <c r="AF193" i="11"/>
  <c r="F144" i="9"/>
  <c r="F128" i="9" l="1"/>
  <c r="F129" i="9"/>
  <c r="F124" i="9"/>
  <c r="C74" i="11" l="1"/>
  <c r="C161" i="11" s="1"/>
  <c r="C79" i="11"/>
  <c r="C78" i="11"/>
  <c r="F125" i="9"/>
  <c r="C75" i="11" s="1"/>
  <c r="C176" i="11" s="1"/>
  <c r="F127" i="9"/>
  <c r="C179" i="11" l="1"/>
  <c r="C164" i="11"/>
  <c r="C180" i="11"/>
  <c r="C165" i="11"/>
  <c r="C175" i="11"/>
  <c r="L75" i="11"/>
  <c r="L176" i="11" s="1"/>
  <c r="T75" i="11"/>
  <c r="AB75" i="11"/>
  <c r="AB176" i="11" s="1"/>
  <c r="AJ75" i="11"/>
  <c r="AJ176" i="11" s="1"/>
  <c r="E75" i="11"/>
  <c r="E176" i="11" s="1"/>
  <c r="U75" i="11"/>
  <c r="U176" i="11" s="1"/>
  <c r="AK75" i="11"/>
  <c r="AK176" i="11" s="1"/>
  <c r="M75" i="11"/>
  <c r="M176" i="11" s="1"/>
  <c r="AC75" i="11"/>
  <c r="AC176" i="11" s="1"/>
  <c r="D75" i="11"/>
  <c r="F75" i="11"/>
  <c r="F176" i="11" s="1"/>
  <c r="N75" i="11"/>
  <c r="N176" i="11" s="1"/>
  <c r="V75" i="11"/>
  <c r="V176" i="11" s="1"/>
  <c r="AD75" i="11"/>
  <c r="AD176" i="11" s="1"/>
  <c r="AL75" i="11"/>
  <c r="AL176" i="11" s="1"/>
  <c r="H75" i="11"/>
  <c r="P75" i="11"/>
  <c r="P176" i="11" s="1"/>
  <c r="X75" i="11"/>
  <c r="X176" i="11" s="1"/>
  <c r="AF75" i="11"/>
  <c r="AN75" i="11"/>
  <c r="AN176" i="11" s="1"/>
  <c r="Q75" i="11"/>
  <c r="Q176" i="11" s="1"/>
  <c r="AG75" i="11"/>
  <c r="AG176" i="11" s="1"/>
  <c r="I75" i="11"/>
  <c r="I176" i="11" s="1"/>
  <c r="Y75" i="11"/>
  <c r="Y176" i="11" s="1"/>
  <c r="AO75" i="11"/>
  <c r="AO176" i="11" s="1"/>
  <c r="W75" i="11"/>
  <c r="W176" i="11" s="1"/>
  <c r="AQ75" i="11"/>
  <c r="AQ176" i="11" s="1"/>
  <c r="Z75" i="11"/>
  <c r="Z176" i="11" s="1"/>
  <c r="K75" i="11"/>
  <c r="K176" i="11" s="1"/>
  <c r="O75" i="11"/>
  <c r="O176" i="11" s="1"/>
  <c r="AI75" i="11"/>
  <c r="AI176" i="11" s="1"/>
  <c r="G75" i="11"/>
  <c r="G176" i="11" s="1"/>
  <c r="AA75" i="11"/>
  <c r="AA176" i="11" s="1"/>
  <c r="J75" i="11"/>
  <c r="J176" i="11" s="1"/>
  <c r="AE75" i="11"/>
  <c r="AE176" i="11" s="1"/>
  <c r="AH75" i="11"/>
  <c r="AH176" i="11" s="1"/>
  <c r="R75" i="11"/>
  <c r="R176" i="11" s="1"/>
  <c r="S75" i="11"/>
  <c r="S176" i="11" s="1"/>
  <c r="AP75" i="11"/>
  <c r="AP176" i="11" s="1"/>
  <c r="AM75" i="11"/>
  <c r="AM176" i="11" s="1"/>
  <c r="C77" i="11"/>
  <c r="AH79" i="11"/>
  <c r="AH165" i="11" s="1"/>
  <c r="J78" i="11"/>
  <c r="J164" i="11" s="1"/>
  <c r="U74" i="11"/>
  <c r="U161" i="11" s="1"/>
  <c r="AG74" i="11"/>
  <c r="AG161" i="11" s="1"/>
  <c r="G79" i="11"/>
  <c r="G165" i="11" s="1"/>
  <c r="W79" i="11"/>
  <c r="W165" i="11" s="1"/>
  <c r="AD79" i="11"/>
  <c r="AD165" i="11" s="1"/>
  <c r="AA78" i="11"/>
  <c r="AA164" i="11" s="1"/>
  <c r="N79" i="11"/>
  <c r="N165" i="11" s="1"/>
  <c r="AE79" i="11"/>
  <c r="AE165" i="11" s="1"/>
  <c r="M79" i="11"/>
  <c r="M165" i="11" s="1"/>
  <c r="Z79" i="11"/>
  <c r="Z165" i="11" s="1"/>
  <c r="X79" i="11"/>
  <c r="X165" i="11" s="1"/>
  <c r="H79" i="11"/>
  <c r="AC79" i="11"/>
  <c r="AC165" i="11" s="1"/>
  <c r="J79" i="11"/>
  <c r="J165" i="11" s="1"/>
  <c r="I79" i="11"/>
  <c r="I165" i="11" s="1"/>
  <c r="AO79" i="11"/>
  <c r="AO165" i="11" s="1"/>
  <c r="AF79" i="11"/>
  <c r="P79" i="11"/>
  <c r="P165" i="11" s="1"/>
  <c r="AJ79" i="11"/>
  <c r="AJ165" i="11" s="1"/>
  <c r="S79" i="11"/>
  <c r="S165" i="11" s="1"/>
  <c r="Y79" i="11"/>
  <c r="Y165" i="11" s="1"/>
  <c r="R79" i="11"/>
  <c r="R165" i="11" s="1"/>
  <c r="AA79" i="11"/>
  <c r="AA165" i="11" s="1"/>
  <c r="L79" i="11"/>
  <c r="L165" i="11" s="1"/>
  <c r="AI79" i="11"/>
  <c r="AI165" i="11" s="1"/>
  <c r="F79" i="11"/>
  <c r="F165" i="11" s="1"/>
  <c r="D79" i="11"/>
  <c r="W74" i="11"/>
  <c r="W161" i="11" s="1"/>
  <c r="AH74" i="11"/>
  <c r="AH161" i="11" s="1"/>
  <c r="L74" i="11"/>
  <c r="L161" i="11" s="1"/>
  <c r="AI74" i="11"/>
  <c r="AI161" i="11" s="1"/>
  <c r="AE74" i="11"/>
  <c r="AE161" i="11" s="1"/>
  <c r="AH78" i="11"/>
  <c r="AH164" i="11" s="1"/>
  <c r="F78" i="11"/>
  <c r="F164" i="11" s="1"/>
  <c r="AM74" i="11"/>
  <c r="AM161" i="11" s="1"/>
  <c r="E74" i="11"/>
  <c r="E161" i="11" s="1"/>
  <c r="AO74" i="11"/>
  <c r="AO161" i="11" s="1"/>
  <c r="D74" i="11"/>
  <c r="P78" i="11"/>
  <c r="P164" i="11" s="1"/>
  <c r="AM78" i="11"/>
  <c r="AM164" i="11" s="1"/>
  <c r="AK78" i="11"/>
  <c r="AK164" i="11" s="1"/>
  <c r="AJ74" i="11"/>
  <c r="AJ161" i="11" s="1"/>
  <c r="H74" i="11"/>
  <c r="AF74" i="11"/>
  <c r="AG78" i="11"/>
  <c r="AG164" i="11" s="1"/>
  <c r="E79" i="11"/>
  <c r="T79" i="11"/>
  <c r="AG79" i="11"/>
  <c r="AG165" i="11" s="1"/>
  <c r="U79" i="11"/>
  <c r="U165" i="11" s="1"/>
  <c r="AB79" i="11"/>
  <c r="AB165" i="11" s="1"/>
  <c r="Q74" i="11"/>
  <c r="Q161" i="11" s="1"/>
  <c r="AC74" i="11"/>
  <c r="AC161" i="11" s="1"/>
  <c r="K74" i="11"/>
  <c r="K161" i="11" s="1"/>
  <c r="AN79" i="11"/>
  <c r="AN165" i="11" s="1"/>
  <c r="Z74" i="11"/>
  <c r="Z161" i="11" s="1"/>
  <c r="N74" i="11"/>
  <c r="N161" i="11" s="1"/>
  <c r="R74" i="11"/>
  <c r="R161" i="11" s="1"/>
  <c r="F74" i="11"/>
  <c r="F161" i="11" s="1"/>
  <c r="K79" i="11"/>
  <c r="K165" i="11" s="1"/>
  <c r="AQ79" i="11"/>
  <c r="AQ165" i="11" s="1"/>
  <c r="AL79" i="11"/>
  <c r="AL165" i="11" s="1"/>
  <c r="AM79" i="11"/>
  <c r="AM165" i="11" s="1"/>
  <c r="V74" i="11"/>
  <c r="V161" i="11" s="1"/>
  <c r="P74" i="11"/>
  <c r="P161" i="11" s="1"/>
  <c r="AB74" i="11"/>
  <c r="AB161" i="11" s="1"/>
  <c r="J74" i="11"/>
  <c r="J161" i="11" s="1"/>
  <c r="X78" i="11"/>
  <c r="X164" i="11" s="1"/>
  <c r="AK79" i="11"/>
  <c r="AK165" i="11" s="1"/>
  <c r="AI78" i="11"/>
  <c r="AI164" i="11" s="1"/>
  <c r="T78" i="11"/>
  <c r="V79" i="11"/>
  <c r="V165" i="11" s="1"/>
  <c r="O79" i="11"/>
  <c r="O165" i="11" s="1"/>
  <c r="AP79" i="11"/>
  <c r="AP165" i="11" s="1"/>
  <c r="Q79" i="11"/>
  <c r="Q165" i="11" s="1"/>
  <c r="Y74" i="11"/>
  <c r="Y161" i="11" s="1"/>
  <c r="AP74" i="11"/>
  <c r="AP161" i="11" s="1"/>
  <c r="I74" i="11"/>
  <c r="I161" i="11" s="1"/>
  <c r="T74" i="11"/>
  <c r="AN74" i="11"/>
  <c r="AN161" i="11" s="1"/>
  <c r="S74" i="11"/>
  <c r="S161" i="11" s="1"/>
  <c r="AL74" i="11"/>
  <c r="AL161" i="11" s="1"/>
  <c r="G74" i="11"/>
  <c r="G161" i="11" s="1"/>
  <c r="AK74" i="11"/>
  <c r="AK161" i="11" s="1"/>
  <c r="X74" i="11"/>
  <c r="X161" i="11" s="1"/>
  <c r="AQ74" i="11"/>
  <c r="AQ161" i="11" s="1"/>
  <c r="O74" i="11"/>
  <c r="O161" i="11" s="1"/>
  <c r="AD74" i="11"/>
  <c r="AD161" i="11" s="1"/>
  <c r="AA74" i="11"/>
  <c r="AA161" i="11" s="1"/>
  <c r="M74" i="11"/>
  <c r="M161" i="11" s="1"/>
  <c r="D78" i="11"/>
  <c r="R78" i="11"/>
  <c r="R164" i="11" s="1"/>
  <c r="AQ78" i="11"/>
  <c r="AQ164" i="11" s="1"/>
  <c r="S78" i="11"/>
  <c r="S164" i="11" s="1"/>
  <c r="I78" i="11"/>
  <c r="I164" i="11" s="1"/>
  <c r="L78" i="11"/>
  <c r="L164" i="11" s="1"/>
  <c r="K78" i="11"/>
  <c r="K164" i="11" s="1"/>
  <c r="U78" i="11"/>
  <c r="U164" i="11" s="1"/>
  <c r="AO78" i="11"/>
  <c r="AO164" i="11" s="1"/>
  <c r="Q78" i="11"/>
  <c r="Q164" i="11" s="1"/>
  <c r="O78" i="11"/>
  <c r="O164" i="11" s="1"/>
  <c r="E78" i="11"/>
  <c r="E164" i="11" s="1"/>
  <c r="AD78" i="11"/>
  <c r="AD164" i="11" s="1"/>
  <c r="W78" i="11"/>
  <c r="W164" i="11" s="1"/>
  <c r="AB78" i="11"/>
  <c r="AB164" i="11" s="1"/>
  <c r="G78" i="11"/>
  <c r="G164" i="11" s="1"/>
  <c r="AL78" i="11"/>
  <c r="AL164" i="11" s="1"/>
  <c r="N78" i="11"/>
  <c r="N164" i="11" s="1"/>
  <c r="AN78" i="11"/>
  <c r="AN164" i="11" s="1"/>
  <c r="Z78" i="11"/>
  <c r="Z164" i="11" s="1"/>
  <c r="AE78" i="11"/>
  <c r="AE164" i="11" s="1"/>
  <c r="AF78" i="11"/>
  <c r="AJ78" i="11"/>
  <c r="AJ164" i="11" s="1"/>
  <c r="AC78" i="11"/>
  <c r="AC164" i="11" s="1"/>
  <c r="AP78" i="11"/>
  <c r="AP164" i="11" s="1"/>
  <c r="Y78" i="11"/>
  <c r="Y164" i="11" s="1"/>
  <c r="M78" i="11"/>
  <c r="M164" i="11" s="1"/>
  <c r="V78" i="11"/>
  <c r="V164" i="11" s="1"/>
  <c r="H78" i="11"/>
  <c r="O9" i="13"/>
  <c r="C178" i="11" l="1"/>
  <c r="C163" i="11"/>
  <c r="H179" i="11"/>
  <c r="H164" i="11"/>
  <c r="T175" i="11"/>
  <c r="T161" i="11"/>
  <c r="T179" i="11"/>
  <c r="T164" i="11"/>
  <c r="E180" i="11"/>
  <c r="E165" i="11"/>
  <c r="D175" i="11"/>
  <c r="D161" i="11"/>
  <c r="AF179" i="11"/>
  <c r="AF164" i="11"/>
  <c r="AF175" i="11"/>
  <c r="AF161" i="11"/>
  <c r="E175" i="11"/>
  <c r="H175" i="11"/>
  <c r="H161" i="11"/>
  <c r="D180" i="11"/>
  <c r="D165" i="11"/>
  <c r="D179" i="11"/>
  <c r="D164" i="11"/>
  <c r="H180" i="11"/>
  <c r="H165" i="11"/>
  <c r="T180" i="11"/>
  <c r="T165" i="11"/>
  <c r="AF180" i="11"/>
  <c r="AF165" i="11"/>
  <c r="AF176" i="11"/>
  <c r="D176" i="11"/>
  <c r="T176" i="11"/>
  <c r="H176" i="11"/>
  <c r="E179" i="11"/>
  <c r="AD179" i="11"/>
  <c r="Z175" i="11"/>
  <c r="AG180" i="11"/>
  <c r="AM179" i="11"/>
  <c r="L180" i="11"/>
  <c r="P180" i="11"/>
  <c r="AI175" i="11"/>
  <c r="AA180" i="11"/>
  <c r="O179" i="11"/>
  <c r="AQ179" i="11"/>
  <c r="AP175" i="11"/>
  <c r="AQ180" i="11"/>
  <c r="K175" i="11"/>
  <c r="R180" i="11"/>
  <c r="Z180" i="11"/>
  <c r="G180" i="11"/>
  <c r="AE175" i="11"/>
  <c r="AD180" i="11"/>
  <c r="Z179" i="11"/>
  <c r="AQ175" i="11"/>
  <c r="AL180" i="11"/>
  <c r="W180" i="11"/>
  <c r="M179" i="11"/>
  <c r="AK180" i="11"/>
  <c r="L175" i="11"/>
  <c r="Y179" i="11"/>
  <c r="N179" i="11"/>
  <c r="Q179" i="11"/>
  <c r="R179" i="11"/>
  <c r="AK175" i="11"/>
  <c r="Y175" i="11"/>
  <c r="X179" i="11"/>
  <c r="K180" i="11"/>
  <c r="AC175" i="11"/>
  <c r="AG179" i="11"/>
  <c r="AO175" i="11"/>
  <c r="AH175" i="11"/>
  <c r="Y180" i="11"/>
  <c r="AO180" i="11"/>
  <c r="M180" i="11"/>
  <c r="AG175" i="11"/>
  <c r="AM180" i="11"/>
  <c r="S179" i="11"/>
  <c r="AI179" i="11"/>
  <c r="P179" i="11"/>
  <c r="X180" i="11"/>
  <c r="AL179" i="11"/>
  <c r="Q175" i="11"/>
  <c r="W175" i="11"/>
  <c r="I180" i="11"/>
  <c r="AE180" i="11"/>
  <c r="U175" i="11"/>
  <c r="AH180" i="11"/>
  <c r="AE179" i="11"/>
  <c r="O175" i="11"/>
  <c r="I175" i="11"/>
  <c r="G175" i="11"/>
  <c r="J175" i="11"/>
  <c r="G179" i="11"/>
  <c r="M175" i="11"/>
  <c r="AL175" i="11"/>
  <c r="AP180" i="11"/>
  <c r="AB175" i="11"/>
  <c r="F175" i="11"/>
  <c r="AM175" i="11"/>
  <c r="S180" i="11"/>
  <c r="J180" i="11"/>
  <c r="AJ179" i="11"/>
  <c r="AB179" i="11"/>
  <c r="K179" i="11"/>
  <c r="AA175" i="11"/>
  <c r="S175" i="11"/>
  <c r="O180" i="11"/>
  <c r="P175" i="11"/>
  <c r="R175" i="11"/>
  <c r="AB180" i="11"/>
  <c r="AJ175" i="11"/>
  <c r="F179" i="11"/>
  <c r="F180" i="11"/>
  <c r="AJ180" i="11"/>
  <c r="AC180" i="11"/>
  <c r="N180" i="11"/>
  <c r="I179" i="11"/>
  <c r="V179" i="11"/>
  <c r="AN180" i="11"/>
  <c r="AN179" i="11"/>
  <c r="X175" i="11"/>
  <c r="AP179" i="11"/>
  <c r="AO179" i="11"/>
  <c r="Q180" i="11"/>
  <c r="AC179" i="11"/>
  <c r="U179" i="11"/>
  <c r="W179" i="11"/>
  <c r="L179" i="11"/>
  <c r="AD175" i="11"/>
  <c r="AN175" i="11"/>
  <c r="V180" i="11"/>
  <c r="V175" i="11"/>
  <c r="N175" i="11"/>
  <c r="U180" i="11"/>
  <c r="AK179" i="11"/>
  <c r="AH179" i="11"/>
  <c r="AI180" i="11"/>
  <c r="AA179" i="11"/>
  <c r="J179" i="11"/>
  <c r="W77" i="11"/>
  <c r="W163" i="11" s="1"/>
  <c r="AE77" i="11"/>
  <c r="AE163" i="11" s="1"/>
  <c r="Z77" i="11"/>
  <c r="Z163" i="11" s="1"/>
  <c r="AI77" i="11"/>
  <c r="AI163" i="11" s="1"/>
  <c r="N77" i="11"/>
  <c r="N163" i="11" s="1"/>
  <c r="V77" i="11"/>
  <c r="V163" i="11" s="1"/>
  <c r="E77" i="11"/>
  <c r="AJ77" i="11"/>
  <c r="AJ163" i="11" s="1"/>
  <c r="AK77" i="11"/>
  <c r="AK163" i="11" s="1"/>
  <c r="S77" i="11"/>
  <c r="S163" i="11" s="1"/>
  <c r="U77" i="11"/>
  <c r="U163" i="11" s="1"/>
  <c r="R77" i="11"/>
  <c r="R163" i="11" s="1"/>
  <c r="G77" i="11"/>
  <c r="AF77" i="11"/>
  <c r="AD77" i="11"/>
  <c r="AD163" i="11" s="1"/>
  <c r="T77" i="11"/>
  <c r="AP77" i="11"/>
  <c r="AP163" i="11" s="1"/>
  <c r="K77" i="11"/>
  <c r="K163" i="11" s="1"/>
  <c r="AG77" i="11"/>
  <c r="AG163" i="11" s="1"/>
  <c r="M77" i="11"/>
  <c r="M163" i="11" s="1"/>
  <c r="AB77" i="11"/>
  <c r="AB163" i="11" s="1"/>
  <c r="I77" i="11"/>
  <c r="I163" i="11" s="1"/>
  <c r="Q77" i="11"/>
  <c r="Q163" i="11" s="1"/>
  <c r="AL77" i="11"/>
  <c r="AL163" i="11" s="1"/>
  <c r="H77" i="11"/>
  <c r="AA77" i="11"/>
  <c r="AA163" i="11" s="1"/>
  <c r="O77" i="11"/>
  <c r="O163" i="11" s="1"/>
  <c r="J77" i="11"/>
  <c r="J163" i="11" s="1"/>
  <c r="AO77" i="11"/>
  <c r="AO163" i="11" s="1"/>
  <c r="P77" i="11"/>
  <c r="P163" i="11" s="1"/>
  <c r="X77" i="11"/>
  <c r="X163" i="11" s="1"/>
  <c r="D77" i="11"/>
  <c r="AH77" i="11"/>
  <c r="AH163" i="11" s="1"/>
  <c r="AM77" i="11"/>
  <c r="AM163" i="11" s="1"/>
  <c r="L77" i="11"/>
  <c r="L163" i="11" s="1"/>
  <c r="F77" i="11"/>
  <c r="F163" i="11" s="1"/>
  <c r="AN77" i="11"/>
  <c r="AN163" i="11" s="1"/>
  <c r="AQ77" i="11"/>
  <c r="AQ163" i="11" s="1"/>
  <c r="Y77" i="11"/>
  <c r="Y163" i="11" s="1"/>
  <c r="AC77" i="11"/>
  <c r="AC163" i="11" s="1"/>
  <c r="E14" i="13"/>
  <c r="E19" i="13" s="1"/>
  <c r="E24" i="13" s="1"/>
  <c r="E31" i="13" s="1"/>
  <c r="L14" i="13"/>
  <c r="L19" i="13" s="1"/>
  <c r="L24" i="13" s="1"/>
  <c r="L30" i="13" s="1"/>
  <c r="D14" i="13"/>
  <c r="D19" i="13" s="1"/>
  <c r="D24" i="13" s="1"/>
  <c r="D30" i="13" s="1"/>
  <c r="I14" i="13"/>
  <c r="I19" i="13" s="1"/>
  <c r="I24" i="13" s="1"/>
  <c r="I31" i="13" s="1"/>
  <c r="C14" i="13"/>
  <c r="C19" i="13" s="1"/>
  <c r="C24" i="13" s="1"/>
  <c r="C30" i="13" s="1"/>
  <c r="J14" i="13"/>
  <c r="J19" i="13" s="1"/>
  <c r="J24" i="13" s="1"/>
  <c r="J30" i="13" s="1"/>
  <c r="F14" i="13"/>
  <c r="F19" i="13" s="1"/>
  <c r="F24" i="13" s="1"/>
  <c r="F30" i="13" s="1"/>
  <c r="G14" i="13"/>
  <c r="G19" i="13" s="1"/>
  <c r="G24" i="13" s="1"/>
  <c r="G31" i="13" s="1"/>
  <c r="N14" i="13"/>
  <c r="N19" i="13" s="1"/>
  <c r="N24" i="13" s="1"/>
  <c r="M14" i="13"/>
  <c r="M19" i="13" s="1"/>
  <c r="M24" i="13" s="1"/>
  <c r="H14" i="13"/>
  <c r="H19" i="13" s="1"/>
  <c r="H24" i="13" s="1"/>
  <c r="K14" i="13"/>
  <c r="K19" i="13" s="1"/>
  <c r="K24" i="13" s="1"/>
  <c r="H178" i="11" l="1"/>
  <c r="H163" i="11"/>
  <c r="D178" i="11"/>
  <c r="D163" i="11"/>
  <c r="T178" i="11"/>
  <c r="T163" i="11"/>
  <c r="E178" i="11"/>
  <c r="E163" i="11"/>
  <c r="AF178" i="11"/>
  <c r="AF163" i="11"/>
  <c r="G178" i="11"/>
  <c r="G163" i="11"/>
  <c r="F178" i="11"/>
  <c r="S178" i="11"/>
  <c r="AE178" i="11"/>
  <c r="L178" i="11"/>
  <c r="AO178" i="11"/>
  <c r="Q178" i="11"/>
  <c r="AD178" i="11"/>
  <c r="AK178" i="11"/>
  <c r="W178" i="11"/>
  <c r="J178" i="11"/>
  <c r="I178" i="11"/>
  <c r="AB178" i="11"/>
  <c r="AC178" i="11"/>
  <c r="AH178" i="11"/>
  <c r="O178" i="11"/>
  <c r="M178" i="11"/>
  <c r="V178" i="11"/>
  <c r="Y178" i="11"/>
  <c r="AA178" i="11"/>
  <c r="AG178" i="11"/>
  <c r="N178" i="11"/>
  <c r="AM178" i="11"/>
  <c r="AJ178" i="11"/>
  <c r="AQ178" i="11"/>
  <c r="X178" i="11"/>
  <c r="K178" i="11"/>
  <c r="R178" i="11"/>
  <c r="AI178" i="11"/>
  <c r="AN178" i="11"/>
  <c r="P178" i="11"/>
  <c r="AL178" i="11"/>
  <c r="AP178" i="11"/>
  <c r="U178" i="11"/>
  <c r="Z178" i="11"/>
  <c r="E30" i="13"/>
  <c r="C31" i="13"/>
  <c r="L31" i="13"/>
  <c r="I30" i="13"/>
  <c r="F31" i="13"/>
  <c r="D31" i="13"/>
  <c r="J31" i="13"/>
  <c r="G30" i="13"/>
  <c r="K31" i="13"/>
  <c r="K30" i="13"/>
  <c r="N30" i="13"/>
  <c r="N31" i="13"/>
  <c r="O14" i="13"/>
  <c r="H31" i="13"/>
  <c r="H30" i="13"/>
  <c r="M31" i="13"/>
  <c r="M30" i="13"/>
  <c r="O30" i="13" l="1"/>
  <c r="C42" i="13" s="1"/>
  <c r="N39" i="13" s="1"/>
  <c r="N53" i="13" s="1"/>
  <c r="O31" i="13"/>
  <c r="C43" i="13" s="1"/>
  <c r="S45" i="11" l="1"/>
  <c r="S73" i="11"/>
  <c r="S35" i="11"/>
  <c r="S109" i="11" s="1"/>
  <c r="S72" i="11"/>
  <c r="L39" i="13"/>
  <c r="I39" i="13"/>
  <c r="K39" i="13"/>
  <c r="K53" i="13" s="1"/>
  <c r="H39" i="13"/>
  <c r="H53" i="13" s="1"/>
  <c r="M39" i="13"/>
  <c r="M53" i="13" s="1"/>
  <c r="D39" i="13"/>
  <c r="D53" i="13" s="1"/>
  <c r="G39" i="13"/>
  <c r="G53" i="13" s="1"/>
  <c r="F39" i="13"/>
  <c r="C39" i="13"/>
  <c r="E39" i="13"/>
  <c r="E53" i="13" s="1"/>
  <c r="J39" i="13"/>
  <c r="J53" i="13" s="1"/>
  <c r="E40" i="13"/>
  <c r="E54" i="13" s="1"/>
  <c r="F40" i="13"/>
  <c r="F54" i="13" s="1"/>
  <c r="D40" i="13"/>
  <c r="D54" i="13" s="1"/>
  <c r="I40" i="13"/>
  <c r="I54" i="13" s="1"/>
  <c r="J40" i="13"/>
  <c r="J54" i="13" s="1"/>
  <c r="G40" i="13"/>
  <c r="G54" i="13" s="1"/>
  <c r="L40" i="13"/>
  <c r="L54" i="13" s="1"/>
  <c r="H40" i="13"/>
  <c r="H54" i="13" s="1"/>
  <c r="K40" i="13"/>
  <c r="K54" i="13" s="1"/>
  <c r="N40" i="13"/>
  <c r="N54" i="13" s="1"/>
  <c r="C40" i="13"/>
  <c r="C54" i="13" s="1"/>
  <c r="M40" i="13"/>
  <c r="M54" i="13" s="1"/>
  <c r="S108" i="11" l="1"/>
  <c r="S111" i="11"/>
  <c r="AD35" i="11"/>
  <c r="AD45" i="11"/>
  <c r="Z45" i="11"/>
  <c r="Z35" i="11"/>
  <c r="L45" i="11"/>
  <c r="L73" i="11"/>
  <c r="L35" i="11"/>
  <c r="L109" i="11" s="1"/>
  <c r="AB45" i="11"/>
  <c r="AB35" i="11"/>
  <c r="V35" i="11"/>
  <c r="V45" i="11"/>
  <c r="J73" i="11"/>
  <c r="J45" i="11"/>
  <c r="J35" i="11"/>
  <c r="J109" i="11" s="1"/>
  <c r="X35" i="11"/>
  <c r="X45" i="11"/>
  <c r="AA45" i="11"/>
  <c r="AA35" i="11"/>
  <c r="AC45" i="11"/>
  <c r="AC35" i="11"/>
  <c r="T35" i="11"/>
  <c r="T45" i="11"/>
  <c r="U35" i="11"/>
  <c r="U45" i="11"/>
  <c r="I35" i="11"/>
  <c r="I109" i="11" s="1"/>
  <c r="I45" i="11"/>
  <c r="I73" i="11"/>
  <c r="AE35" i="11"/>
  <c r="AE45" i="11"/>
  <c r="W35" i="11"/>
  <c r="W45" i="11"/>
  <c r="R45" i="11"/>
  <c r="R73" i="11"/>
  <c r="R35" i="11"/>
  <c r="R109" i="11" s="1"/>
  <c r="M45" i="11"/>
  <c r="M73" i="11"/>
  <c r="M35" i="11"/>
  <c r="M109" i="11" s="1"/>
  <c r="Y35" i="11"/>
  <c r="Y45" i="11"/>
  <c r="O73" i="11"/>
  <c r="O35" i="11"/>
  <c r="O109" i="11" s="1"/>
  <c r="O45" i="11"/>
  <c r="P73" i="11"/>
  <c r="P45" i="11"/>
  <c r="P35" i="11"/>
  <c r="P109" i="11" s="1"/>
  <c r="O72" i="11"/>
  <c r="P72" i="11"/>
  <c r="J72" i="11"/>
  <c r="M72" i="11"/>
  <c r="L72" i="11"/>
  <c r="I72" i="11"/>
  <c r="R72" i="11"/>
  <c r="F48" i="13"/>
  <c r="F56" i="13" s="1"/>
  <c r="C53" i="13"/>
  <c r="C48" i="13"/>
  <c r="C56" i="13" s="1"/>
  <c r="F53" i="13"/>
  <c r="D48" i="13"/>
  <c r="D56" i="13" s="1"/>
  <c r="I53" i="13"/>
  <c r="E48" i="13"/>
  <c r="E56" i="13" s="1"/>
  <c r="L53" i="13"/>
  <c r="O54" i="13"/>
  <c r="S191" i="11" l="1"/>
  <c r="T108" i="11"/>
  <c r="AF108" i="11"/>
  <c r="AE109" i="11"/>
  <c r="AQ109" i="11"/>
  <c r="AC109" i="11"/>
  <c r="AO109" i="11"/>
  <c r="AL109" i="11"/>
  <c r="Z109" i="11"/>
  <c r="AE108" i="11"/>
  <c r="AQ108" i="11"/>
  <c r="T109" i="11"/>
  <c r="AF109" i="11"/>
  <c r="AC108" i="11"/>
  <c r="AO108" i="11"/>
  <c r="V108" i="11"/>
  <c r="AH108" i="11"/>
  <c r="AL108" i="11"/>
  <c r="Z108" i="11"/>
  <c r="AK109" i="11"/>
  <c r="Y109" i="11"/>
  <c r="AM109" i="11"/>
  <c r="AA109" i="11"/>
  <c r="V109" i="11"/>
  <c r="AH109" i="11"/>
  <c r="AD108" i="11"/>
  <c r="AP108" i="11"/>
  <c r="AA108" i="11"/>
  <c r="AM108" i="11"/>
  <c r="AN109" i="11"/>
  <c r="AB109" i="11"/>
  <c r="AD109" i="11"/>
  <c r="AP109" i="11"/>
  <c r="U108" i="11"/>
  <c r="AG108" i="11"/>
  <c r="X108" i="11"/>
  <c r="AJ108" i="11"/>
  <c r="AN108" i="11"/>
  <c r="AB108" i="11"/>
  <c r="AI109" i="11"/>
  <c r="W109" i="11"/>
  <c r="AK108" i="11"/>
  <c r="Y108" i="11"/>
  <c r="W108" i="11"/>
  <c r="AI108" i="11"/>
  <c r="U109" i="11"/>
  <c r="AG109" i="11"/>
  <c r="X109" i="11"/>
  <c r="AJ109" i="11"/>
  <c r="J108" i="11"/>
  <c r="L108" i="11"/>
  <c r="P108" i="11"/>
  <c r="M108" i="11"/>
  <c r="I108" i="11"/>
  <c r="O108" i="11"/>
  <c r="R108" i="11"/>
  <c r="P111" i="11"/>
  <c r="R111" i="11"/>
  <c r="O111" i="11"/>
  <c r="I111" i="11"/>
  <c r="J111" i="11"/>
  <c r="M111" i="11"/>
  <c r="L111" i="11"/>
  <c r="Z72" i="11"/>
  <c r="AL72" i="11"/>
  <c r="AM73" i="11"/>
  <c r="AA73" i="11"/>
  <c r="AE73" i="11"/>
  <c r="AQ73" i="11"/>
  <c r="X73" i="11"/>
  <c r="AJ73" i="11"/>
  <c r="V73" i="11"/>
  <c r="AH73" i="11"/>
  <c r="AL73" i="11"/>
  <c r="Z73" i="11"/>
  <c r="U73" i="11"/>
  <c r="AG73" i="11"/>
  <c r="AF73" i="11"/>
  <c r="T73" i="11"/>
  <c r="AG72" i="11"/>
  <c r="U72" i="11"/>
  <c r="W73" i="11"/>
  <c r="AI73" i="11"/>
  <c r="AF72" i="11"/>
  <c r="T72" i="11"/>
  <c r="AO72" i="11"/>
  <c r="AC72" i="11"/>
  <c r="W72" i="11"/>
  <c r="AI72" i="11"/>
  <c r="AN73" i="11"/>
  <c r="AB73" i="11"/>
  <c r="X72" i="11"/>
  <c r="AJ72" i="11"/>
  <c r="AH72" i="11"/>
  <c r="V72" i="11"/>
  <c r="AK73" i="11"/>
  <c r="Y73" i="11"/>
  <c r="AM72" i="11"/>
  <c r="AA72" i="11"/>
  <c r="AE72" i="11"/>
  <c r="AQ72" i="11"/>
  <c r="AN72" i="11"/>
  <c r="AB72" i="11"/>
  <c r="Y72" i="11"/>
  <c r="AK72" i="11"/>
  <c r="AC73" i="11"/>
  <c r="AO73" i="11"/>
  <c r="AP72" i="11"/>
  <c r="AD72" i="11"/>
  <c r="AD73" i="11"/>
  <c r="AP73" i="11"/>
  <c r="G73" i="11"/>
  <c r="G35" i="11"/>
  <c r="G109" i="11" s="1"/>
  <c r="G45" i="11"/>
  <c r="Q73" i="11"/>
  <c r="Q45" i="11"/>
  <c r="Q35" i="11"/>
  <c r="Q109" i="11" s="1"/>
  <c r="H35" i="11"/>
  <c r="H109" i="11" s="1"/>
  <c r="H45" i="11"/>
  <c r="H73" i="11"/>
  <c r="E73" i="11"/>
  <c r="E35" i="11"/>
  <c r="E109" i="11" s="1"/>
  <c r="E45" i="11"/>
  <c r="N73" i="11"/>
  <c r="N35" i="11"/>
  <c r="N109" i="11" s="1"/>
  <c r="N45" i="11"/>
  <c r="F45" i="11"/>
  <c r="F73" i="11"/>
  <c r="F35" i="11"/>
  <c r="F109" i="11" s="1"/>
  <c r="K45" i="11"/>
  <c r="K73" i="11"/>
  <c r="K35" i="11"/>
  <c r="K109" i="11" s="1"/>
  <c r="D35" i="11"/>
  <c r="D109" i="11" s="1"/>
  <c r="D45" i="11"/>
  <c r="G72" i="11"/>
  <c r="F72" i="11"/>
  <c r="E72" i="11"/>
  <c r="Q72" i="11"/>
  <c r="K72" i="11"/>
  <c r="N72" i="11"/>
  <c r="H72" i="11"/>
  <c r="O53" i="13"/>
  <c r="G56" i="13"/>
  <c r="O191" i="11" l="1"/>
  <c r="R191" i="11"/>
  <c r="P191" i="11"/>
  <c r="L191" i="11"/>
  <c r="M191" i="11"/>
  <c r="J191" i="11"/>
  <c r="I191" i="11"/>
  <c r="D108" i="11"/>
  <c r="H108" i="11"/>
  <c r="F108" i="11"/>
  <c r="Q108" i="11"/>
  <c r="E108" i="11"/>
  <c r="N108" i="11"/>
  <c r="K108" i="11"/>
  <c r="G108" i="11"/>
  <c r="K111" i="11"/>
  <c r="Q111" i="11"/>
  <c r="D111" i="11"/>
  <c r="D191" i="11" s="1"/>
  <c r="N111" i="11"/>
  <c r="E111" i="11"/>
  <c r="H111" i="11"/>
  <c r="F111" i="11"/>
  <c r="G111" i="11"/>
  <c r="G191" i="11" l="1"/>
  <c r="F191" i="11"/>
  <c r="H191" i="11"/>
  <c r="E191" i="11"/>
  <c r="N191" i="11"/>
  <c r="Q191" i="11"/>
  <c r="K191" i="11"/>
  <c r="E105" i="9" l="1"/>
  <c r="E101" i="9" l="1"/>
  <c r="E44" i="9"/>
  <c r="E130" i="9"/>
  <c r="E132" i="9"/>
  <c r="F105" i="9"/>
  <c r="C64" i="11" l="1"/>
  <c r="C62" i="11"/>
  <c r="E42" i="9"/>
  <c r="E41" i="9" s="1"/>
  <c r="E43" i="9"/>
  <c r="E49" i="9" s="1"/>
  <c r="E50" i="9" s="1"/>
  <c r="F44" i="9"/>
  <c r="F130" i="9"/>
  <c r="H105" i="9"/>
  <c r="G105" i="9"/>
  <c r="F101" i="9"/>
  <c r="F132" i="9"/>
  <c r="E51" i="9" l="1"/>
  <c r="E53" i="9" s="1"/>
  <c r="E54" i="9"/>
  <c r="E148" i="9" s="1"/>
  <c r="F62" i="11"/>
  <c r="N62" i="11"/>
  <c r="V62" i="11"/>
  <c r="AD62" i="11"/>
  <c r="AL62" i="11"/>
  <c r="I62" i="11"/>
  <c r="Q62" i="11"/>
  <c r="Y62" i="11"/>
  <c r="AG62" i="11"/>
  <c r="AO62" i="11"/>
  <c r="J62" i="11"/>
  <c r="R62" i="11"/>
  <c r="Z62" i="11"/>
  <c r="AH62" i="11"/>
  <c r="AP62" i="11"/>
  <c r="K62" i="11"/>
  <c r="S62" i="11"/>
  <c r="AA62" i="11"/>
  <c r="AI62" i="11"/>
  <c r="AQ62" i="11"/>
  <c r="D62" i="11"/>
  <c r="T62" i="11"/>
  <c r="AJ62" i="11"/>
  <c r="G62" i="11"/>
  <c r="W62" i="11"/>
  <c r="AM62" i="11"/>
  <c r="H62" i="11"/>
  <c r="X62" i="11"/>
  <c r="AN62" i="11"/>
  <c r="L62" i="11"/>
  <c r="AB62" i="11"/>
  <c r="E62" i="11"/>
  <c r="AK62" i="11"/>
  <c r="M62" i="11"/>
  <c r="O62" i="11"/>
  <c r="AE62" i="11"/>
  <c r="P62" i="11"/>
  <c r="AF62" i="11"/>
  <c r="U62" i="11"/>
  <c r="AC62" i="11"/>
  <c r="E40" i="9"/>
  <c r="E47" i="9"/>
  <c r="E46" i="9" s="1"/>
  <c r="E133" i="9"/>
  <c r="D64" i="11"/>
  <c r="L64" i="11"/>
  <c r="T64" i="11"/>
  <c r="AB64" i="11"/>
  <c r="AJ64" i="11"/>
  <c r="G64" i="11"/>
  <c r="O64" i="11"/>
  <c r="W64" i="11"/>
  <c r="AE64" i="11"/>
  <c r="AM64" i="11"/>
  <c r="H64" i="11"/>
  <c r="P64" i="11"/>
  <c r="X64" i="11"/>
  <c r="AF64" i="11"/>
  <c r="AN64" i="11"/>
  <c r="I64" i="11"/>
  <c r="Q64" i="11"/>
  <c r="Y64" i="11"/>
  <c r="AG64" i="11"/>
  <c r="AO64" i="11"/>
  <c r="R64" i="11"/>
  <c r="AH64" i="11"/>
  <c r="E64" i="11"/>
  <c r="U64" i="11"/>
  <c r="AK64" i="11"/>
  <c r="F64" i="11"/>
  <c r="V64" i="11"/>
  <c r="AL64" i="11"/>
  <c r="J64" i="11"/>
  <c r="Z64" i="11"/>
  <c r="AP64" i="11"/>
  <c r="S64" i="11"/>
  <c r="AA64" i="11"/>
  <c r="AC64" i="11"/>
  <c r="M64" i="11"/>
  <c r="AD64" i="11"/>
  <c r="N64" i="11"/>
  <c r="AI64" i="11"/>
  <c r="K64" i="11"/>
  <c r="AQ64" i="11"/>
  <c r="H101" i="9"/>
  <c r="H130" i="9" s="1"/>
  <c r="C116" i="11" s="1"/>
  <c r="G101" i="9"/>
  <c r="G44" i="9"/>
  <c r="G132" i="9"/>
  <c r="G130" i="9"/>
  <c r="C80" i="11"/>
  <c r="C166" i="11" s="1"/>
  <c r="C82" i="11"/>
  <c r="C168" i="11" s="1"/>
  <c r="E57" i="9" l="1"/>
  <c r="E135" i="9" s="1"/>
  <c r="E137" i="9" s="1"/>
  <c r="E56" i="9"/>
  <c r="E134" i="9" s="1"/>
  <c r="E136" i="9" s="1"/>
  <c r="E52" i="9"/>
  <c r="E147" i="9"/>
  <c r="C98" i="11"/>
  <c r="C100" i="11"/>
  <c r="H131" i="9"/>
  <c r="C117" i="11" s="1"/>
  <c r="H133" i="9"/>
  <c r="H132" i="9"/>
  <c r="C118" i="11" s="1"/>
  <c r="G42" i="9"/>
  <c r="G41" i="9" s="1"/>
  <c r="G47" i="9" s="1"/>
  <c r="G43" i="9"/>
  <c r="G49" i="9" s="1"/>
  <c r="G50" i="9" s="1"/>
  <c r="G51" i="9" s="1"/>
  <c r="G53" i="9" s="1"/>
  <c r="E55" i="9" l="1"/>
  <c r="C66" i="11"/>
  <c r="C65" i="11"/>
  <c r="H137" i="9"/>
  <c r="C120" i="11" s="1"/>
  <c r="H136" i="9"/>
  <c r="C119" i="11" s="1"/>
  <c r="G133" i="9"/>
  <c r="C183" i="11"/>
  <c r="C181" i="11"/>
  <c r="G40" i="9"/>
  <c r="G46" i="9"/>
  <c r="H100" i="11"/>
  <c r="O100" i="11"/>
  <c r="AJ100" i="11"/>
  <c r="S100" i="11"/>
  <c r="AG100" i="11"/>
  <c r="AL100" i="11"/>
  <c r="G100" i="11"/>
  <c r="AB100" i="11"/>
  <c r="K100" i="11"/>
  <c r="Y100" i="11"/>
  <c r="F100" i="11"/>
  <c r="AK100" i="11"/>
  <c r="E100" i="11"/>
  <c r="AD100" i="11"/>
  <c r="T100" i="11"/>
  <c r="AP100" i="11"/>
  <c r="Q100" i="11"/>
  <c r="AO100" i="11"/>
  <c r="V100" i="11"/>
  <c r="L100" i="11"/>
  <c r="AH100" i="11"/>
  <c r="I100" i="11"/>
  <c r="AN100" i="11"/>
  <c r="N100" i="11"/>
  <c r="AC100" i="11"/>
  <c r="D100" i="11"/>
  <c r="Z100" i="11"/>
  <c r="P100" i="11"/>
  <c r="AF100" i="11"/>
  <c r="AM100" i="11"/>
  <c r="U100" i="11"/>
  <c r="AQ100" i="11"/>
  <c r="R100" i="11"/>
  <c r="AA100" i="11"/>
  <c r="X100" i="11"/>
  <c r="AE100" i="11"/>
  <c r="M100" i="11"/>
  <c r="AI100" i="11"/>
  <c r="J100" i="11"/>
  <c r="W100" i="11"/>
  <c r="AK98" i="11"/>
  <c r="K98" i="11"/>
  <c r="N98" i="11"/>
  <c r="L98" i="11"/>
  <c r="AP98" i="11"/>
  <c r="Q98" i="11"/>
  <c r="AN98" i="11"/>
  <c r="AQ98" i="11"/>
  <c r="AM98" i="11"/>
  <c r="D98" i="11"/>
  <c r="AH98" i="11"/>
  <c r="I98" i="11"/>
  <c r="AF98" i="11"/>
  <c r="R98" i="11"/>
  <c r="AI98" i="11"/>
  <c r="H98" i="11"/>
  <c r="M98" i="11"/>
  <c r="AL98" i="11"/>
  <c r="E98" i="11"/>
  <c r="F98" i="11"/>
  <c r="J98" i="11"/>
  <c r="P98" i="11"/>
  <c r="S98" i="11"/>
  <c r="O98" i="11"/>
  <c r="G98" i="11"/>
  <c r="AO98" i="11"/>
  <c r="AG98" i="11"/>
  <c r="AJ98" i="11"/>
  <c r="G56" i="9"/>
  <c r="G147" i="9"/>
  <c r="G54" i="9"/>
  <c r="G148" i="9" s="1"/>
  <c r="AT118" i="11" l="1"/>
  <c r="AV118" i="11" s="1"/>
  <c r="AT117" i="11"/>
  <c r="AV117" i="11" s="1"/>
  <c r="C196" i="11"/>
  <c r="U118" i="11"/>
  <c r="C198" i="11"/>
  <c r="J66" i="11"/>
  <c r="R66" i="11"/>
  <c r="Z66" i="11"/>
  <c r="AH66" i="11"/>
  <c r="AP66" i="11"/>
  <c r="E66" i="11"/>
  <c r="M66" i="11"/>
  <c r="U66" i="11"/>
  <c r="AC66" i="11"/>
  <c r="AK66" i="11"/>
  <c r="F66" i="11"/>
  <c r="N66" i="11"/>
  <c r="V66" i="11"/>
  <c r="AD66" i="11"/>
  <c r="AL66" i="11"/>
  <c r="G66" i="11"/>
  <c r="O66" i="11"/>
  <c r="W66" i="11"/>
  <c r="AE66" i="11"/>
  <c r="AM66" i="11"/>
  <c r="P66" i="11"/>
  <c r="AF66" i="11"/>
  <c r="S66" i="11"/>
  <c r="AI66" i="11"/>
  <c r="D66" i="11"/>
  <c r="T66" i="11"/>
  <c r="AJ66" i="11"/>
  <c r="H66" i="11"/>
  <c r="X66" i="11"/>
  <c r="AN66" i="11"/>
  <c r="AG66" i="11"/>
  <c r="I66" i="11"/>
  <c r="AO66" i="11"/>
  <c r="K66" i="11"/>
  <c r="AQ66" i="11"/>
  <c r="L66" i="11"/>
  <c r="Q66" i="11"/>
  <c r="AA66" i="11"/>
  <c r="Y66" i="11"/>
  <c r="AB66" i="11"/>
  <c r="K65" i="11"/>
  <c r="S65" i="11"/>
  <c r="AA65" i="11"/>
  <c r="AI65" i="11"/>
  <c r="AQ65" i="11"/>
  <c r="F65" i="11"/>
  <c r="N65" i="11"/>
  <c r="V65" i="11"/>
  <c r="AD65" i="11"/>
  <c r="AL65" i="11"/>
  <c r="G65" i="11"/>
  <c r="O65" i="11"/>
  <c r="W65" i="11"/>
  <c r="AE65" i="11"/>
  <c r="AM65" i="11"/>
  <c r="H65" i="11"/>
  <c r="P65" i="11"/>
  <c r="X65" i="11"/>
  <c r="AF65" i="11"/>
  <c r="AN65" i="11"/>
  <c r="I65" i="11"/>
  <c r="Y65" i="11"/>
  <c r="AO65" i="11"/>
  <c r="L65" i="11"/>
  <c r="AB65" i="11"/>
  <c r="M65" i="11"/>
  <c r="AC65" i="11"/>
  <c r="Q65" i="11"/>
  <c r="AG65" i="11"/>
  <c r="J65" i="11"/>
  <c r="AP65" i="11"/>
  <c r="R65" i="11"/>
  <c r="T65" i="11"/>
  <c r="AJ65" i="11"/>
  <c r="E65" i="11"/>
  <c r="U65" i="11"/>
  <c r="D65" i="11"/>
  <c r="AK65" i="11"/>
  <c r="Z65" i="11"/>
  <c r="AH65" i="11"/>
  <c r="D116" i="11"/>
  <c r="K116" i="11"/>
  <c r="G116" i="11"/>
  <c r="O116" i="11"/>
  <c r="Q116" i="11"/>
  <c r="P116" i="11"/>
  <c r="L116" i="11"/>
  <c r="F116" i="11"/>
  <c r="AC118" i="11"/>
  <c r="AK118" i="11"/>
  <c r="E116" i="11"/>
  <c r="I116" i="11"/>
  <c r="V118" i="11"/>
  <c r="N116" i="11"/>
  <c r="F118" i="11"/>
  <c r="G118" i="11"/>
  <c r="Y118" i="11"/>
  <c r="AD118" i="11"/>
  <c r="AI118" i="11"/>
  <c r="X118" i="11"/>
  <c r="AQ118" i="11"/>
  <c r="W118" i="11"/>
  <c r="I118" i="11"/>
  <c r="J116" i="11"/>
  <c r="N118" i="11"/>
  <c r="T118" i="11"/>
  <c r="S116" i="11"/>
  <c r="AM118" i="11"/>
  <c r="AB118" i="11"/>
  <c r="AN118" i="11"/>
  <c r="Q118" i="11"/>
  <c r="AJ118" i="11"/>
  <c r="H118" i="11"/>
  <c r="S118" i="11"/>
  <c r="AH118" i="11"/>
  <c r="AO118" i="11"/>
  <c r="AA118" i="11"/>
  <c r="M118" i="11"/>
  <c r="O118" i="11"/>
  <c r="P118" i="11"/>
  <c r="AG118" i="11"/>
  <c r="Z118" i="11"/>
  <c r="D118" i="11"/>
  <c r="AE118" i="11"/>
  <c r="AF118" i="11"/>
  <c r="R118" i="11"/>
  <c r="AP118" i="11"/>
  <c r="L118" i="11"/>
  <c r="M116" i="11"/>
  <c r="H116" i="11"/>
  <c r="R116" i="11"/>
  <c r="E118" i="11"/>
  <c r="AL118" i="11"/>
  <c r="J118" i="11"/>
  <c r="K118" i="11"/>
  <c r="G134" i="9"/>
  <c r="G136" i="9" s="1"/>
  <c r="G57" i="9"/>
  <c r="G52" i="9"/>
  <c r="AW118" i="11" l="1"/>
  <c r="BC118" i="11"/>
  <c r="AW117" i="11"/>
  <c r="BC117" i="11"/>
  <c r="R196" i="11"/>
  <c r="AJ198" i="11"/>
  <c r="J196" i="11"/>
  <c r="AE196" i="11"/>
  <c r="AG196" i="11"/>
  <c r="AN196" i="11"/>
  <c r="I198" i="11"/>
  <c r="AK198" i="11"/>
  <c r="AN198" i="11"/>
  <c r="W198" i="11"/>
  <c r="Z196" i="11"/>
  <c r="U196" i="11"/>
  <c r="W196" i="11"/>
  <c r="AJ196" i="11"/>
  <c r="AA198" i="11"/>
  <c r="AB198" i="11"/>
  <c r="AQ198" i="11"/>
  <c r="AQ196" i="11"/>
  <c r="AP196" i="11"/>
  <c r="AL196" i="11"/>
  <c r="K198" i="11"/>
  <c r="Z198" i="11"/>
  <c r="AM198" i="11"/>
  <c r="N196" i="11"/>
  <c r="F196" i="11"/>
  <c r="J198" i="11"/>
  <c r="AP198" i="11"/>
  <c r="AG198" i="11"/>
  <c r="AH198" i="11"/>
  <c r="S196" i="11"/>
  <c r="AI198" i="11"/>
  <c r="AM196" i="11"/>
  <c r="L196" i="11"/>
  <c r="O196" i="11"/>
  <c r="AC196" i="11"/>
  <c r="U198" i="11"/>
  <c r="Q198" i="11"/>
  <c r="F198" i="11"/>
  <c r="AB196" i="11"/>
  <c r="P196" i="11"/>
  <c r="V196" i="11"/>
  <c r="M196" i="11"/>
  <c r="AC198" i="11"/>
  <c r="Y196" i="11"/>
  <c r="L198" i="11"/>
  <c r="AO198" i="11"/>
  <c r="X198" i="11"/>
  <c r="AO196" i="11"/>
  <c r="Q196" i="11"/>
  <c r="AL198" i="11"/>
  <c r="R198" i="11"/>
  <c r="P198" i="11"/>
  <c r="S198" i="11"/>
  <c r="AD198" i="11"/>
  <c r="V198" i="11"/>
  <c r="AK196" i="11"/>
  <c r="AH196" i="11"/>
  <c r="X196" i="11"/>
  <c r="AA196" i="11"/>
  <c r="AE198" i="11"/>
  <c r="G198" i="11"/>
  <c r="K196" i="11"/>
  <c r="M198" i="11"/>
  <c r="E196" i="11"/>
  <c r="E198" i="11"/>
  <c r="O198" i="11"/>
  <c r="N198" i="11"/>
  <c r="Y198" i="11"/>
  <c r="I196" i="11"/>
  <c r="AI196" i="11"/>
  <c r="AD196" i="11"/>
  <c r="G196" i="11"/>
  <c r="D198" i="11"/>
  <c r="AF196" i="11"/>
  <c r="D196" i="11"/>
  <c r="T198" i="11"/>
  <c r="H196" i="11"/>
  <c r="AF198" i="11"/>
  <c r="H198" i="11"/>
  <c r="U119" i="11"/>
  <c r="U120" i="11"/>
  <c r="AK120" i="11"/>
  <c r="J119" i="11"/>
  <c r="AN120" i="11"/>
  <c r="AM119" i="11"/>
  <c r="AD119" i="11"/>
  <c r="I119" i="11"/>
  <c r="AI120" i="11"/>
  <c r="AQ120" i="11"/>
  <c r="W120" i="11"/>
  <c r="AP120" i="11"/>
  <c r="X120" i="11"/>
  <c r="D120" i="11"/>
  <c r="Y120" i="11"/>
  <c r="AJ120" i="11"/>
  <c r="I120" i="11"/>
  <c r="AG119" i="11"/>
  <c r="AD120" i="11"/>
  <c r="Z119" i="11"/>
  <c r="N119" i="11"/>
  <c r="AH119" i="11"/>
  <c r="P120" i="11"/>
  <c r="W119" i="11"/>
  <c r="E119" i="11"/>
  <c r="AF120" i="11"/>
  <c r="AE120" i="11"/>
  <c r="Q120" i="11"/>
  <c r="J120" i="11"/>
  <c r="V120" i="11"/>
  <c r="S120" i="11"/>
  <c r="Z120" i="11"/>
  <c r="G120" i="11"/>
  <c r="AA120" i="11"/>
  <c r="AC120" i="11"/>
  <c r="H90" i="9"/>
  <c r="O119" i="11"/>
  <c r="AE119" i="11"/>
  <c r="AO119" i="11"/>
  <c r="D119" i="11"/>
  <c r="AC119" i="11"/>
  <c r="P119" i="11"/>
  <c r="V119" i="11"/>
  <c r="K119" i="11"/>
  <c r="T119" i="11"/>
  <c r="AK119" i="11"/>
  <c r="Y119" i="11"/>
  <c r="AP119" i="11"/>
  <c r="M119" i="11"/>
  <c r="Q119" i="11"/>
  <c r="H119" i="11"/>
  <c r="AA119" i="11"/>
  <c r="AB119" i="11"/>
  <c r="F120" i="11"/>
  <c r="AM120" i="11"/>
  <c r="AG120" i="11"/>
  <c r="T120" i="11"/>
  <c r="F119" i="11"/>
  <c r="AN119" i="11"/>
  <c r="AI119" i="11"/>
  <c r="AJ119" i="11"/>
  <c r="AL120" i="11"/>
  <c r="H120" i="11"/>
  <c r="AH120" i="11"/>
  <c r="AB120" i="11"/>
  <c r="G119" i="11"/>
  <c r="AF119" i="11"/>
  <c r="AQ119" i="11"/>
  <c r="R119" i="11"/>
  <c r="AO120" i="11"/>
  <c r="R120" i="11"/>
  <c r="E120" i="11"/>
  <c r="M120" i="11"/>
  <c r="AL119" i="11"/>
  <c r="X119" i="11"/>
  <c r="S119" i="11"/>
  <c r="L119" i="11"/>
  <c r="O120" i="11"/>
  <c r="N120" i="11"/>
  <c r="K120" i="11"/>
  <c r="L120" i="11"/>
  <c r="C101" i="11"/>
  <c r="H101" i="11" s="1"/>
  <c r="G135" i="9"/>
  <c r="G137" i="9" s="1"/>
  <c r="G55" i="9"/>
  <c r="C102" i="11" l="1"/>
  <c r="C200" i="11" s="1"/>
  <c r="H91" i="9"/>
  <c r="H199" i="11"/>
  <c r="C199" i="11"/>
  <c r="I90" i="9"/>
  <c r="I91" i="9" s="1"/>
  <c r="AD101" i="11"/>
  <c r="AD199" i="11" s="1"/>
  <c r="G101" i="11"/>
  <c r="G199" i="11" s="1"/>
  <c r="T101" i="11"/>
  <c r="AP101" i="11"/>
  <c r="AP199" i="11" s="1"/>
  <c r="Q101" i="11"/>
  <c r="Q199" i="11" s="1"/>
  <c r="V101" i="11"/>
  <c r="V199" i="11" s="1"/>
  <c r="L101" i="11"/>
  <c r="L199" i="11" s="1"/>
  <c r="AH101" i="11"/>
  <c r="AH199" i="11" s="1"/>
  <c r="I101" i="11"/>
  <c r="I199" i="11" s="1"/>
  <c r="N101" i="11"/>
  <c r="N199" i="11" s="1"/>
  <c r="AG101" i="11"/>
  <c r="AG199" i="11" s="1"/>
  <c r="AK101" i="11"/>
  <c r="AK199" i="11" s="1"/>
  <c r="AC101" i="11"/>
  <c r="AC199" i="11" s="1"/>
  <c r="Z101" i="11"/>
  <c r="Z199" i="11" s="1"/>
  <c r="AN101" i="11"/>
  <c r="AN199" i="11" s="1"/>
  <c r="D101" i="11"/>
  <c r="AF101" i="11"/>
  <c r="AF199" i="11" s="1"/>
  <c r="F101" i="11"/>
  <c r="F199" i="11" s="1"/>
  <c r="U101" i="11"/>
  <c r="U199" i="11" s="1"/>
  <c r="AQ101" i="11"/>
  <c r="AQ199" i="11" s="1"/>
  <c r="R101" i="11"/>
  <c r="R199" i="11" s="1"/>
  <c r="AJ101" i="11"/>
  <c r="AJ199" i="11" s="1"/>
  <c r="X101" i="11"/>
  <c r="X199" i="11" s="1"/>
  <c r="AM101" i="11"/>
  <c r="AM199" i="11" s="1"/>
  <c r="M101" i="11"/>
  <c r="M199" i="11" s="1"/>
  <c r="AI101" i="11"/>
  <c r="AI199" i="11" s="1"/>
  <c r="J101" i="11"/>
  <c r="J199" i="11" s="1"/>
  <c r="AE101" i="11"/>
  <c r="AE199" i="11" s="1"/>
  <c r="E101" i="11"/>
  <c r="E199" i="11" s="1"/>
  <c r="AA101" i="11"/>
  <c r="AA199" i="11" s="1"/>
  <c r="AO101" i="11"/>
  <c r="AO199" i="11" s="1"/>
  <c r="W101" i="11"/>
  <c r="W199" i="11" s="1"/>
  <c r="S101" i="11"/>
  <c r="S199" i="11" s="1"/>
  <c r="P101" i="11"/>
  <c r="P199" i="11" s="1"/>
  <c r="AL101" i="11"/>
  <c r="AL199" i="11" s="1"/>
  <c r="O101" i="11"/>
  <c r="O199" i="11" s="1"/>
  <c r="AB101" i="11"/>
  <c r="AB199" i="11" s="1"/>
  <c r="K101" i="11"/>
  <c r="K199" i="11" s="1"/>
  <c r="Y101" i="11"/>
  <c r="Y199" i="11" s="1"/>
  <c r="AN80" i="11"/>
  <c r="O80" i="11"/>
  <c r="AD80" i="11"/>
  <c r="AK80" i="11"/>
  <c r="AJ80" i="11"/>
  <c r="AB80" i="11"/>
  <c r="T80" i="11"/>
  <c r="S80" i="11"/>
  <c r="Z80" i="11"/>
  <c r="V80" i="11"/>
  <c r="Y80" i="11"/>
  <c r="N80" i="11"/>
  <c r="Q80" i="11"/>
  <c r="AL80" i="11"/>
  <c r="D80" i="11"/>
  <c r="AH80" i="11"/>
  <c r="W80" i="11"/>
  <c r="F80" i="11"/>
  <c r="F166" i="11" s="1"/>
  <c r="AA80" i="11"/>
  <c r="I80" i="11"/>
  <c r="U80" i="11"/>
  <c r="K80" i="11"/>
  <c r="P80" i="11"/>
  <c r="E80" i="11"/>
  <c r="E166" i="11" s="1"/>
  <c r="AP80" i="11"/>
  <c r="H80" i="11"/>
  <c r="L80" i="11"/>
  <c r="AO80" i="11"/>
  <c r="AM80" i="11"/>
  <c r="AC80" i="11"/>
  <c r="AQ80" i="11"/>
  <c r="AG80" i="11"/>
  <c r="AE80" i="11"/>
  <c r="R80" i="11"/>
  <c r="AF80" i="11"/>
  <c r="G80" i="11"/>
  <c r="G166" i="11" s="1"/>
  <c r="AG82" i="11"/>
  <c r="S82" i="11"/>
  <c r="AJ82" i="11"/>
  <c r="V82" i="11"/>
  <c r="H82" i="11"/>
  <c r="AB82" i="11"/>
  <c r="AO82" i="11"/>
  <c r="AA82" i="11"/>
  <c r="E82" i="11"/>
  <c r="AD82" i="11"/>
  <c r="P82" i="11"/>
  <c r="K82" i="11"/>
  <c r="J82" i="11"/>
  <c r="AI82" i="11"/>
  <c r="M82" i="11"/>
  <c r="AL82" i="11"/>
  <c r="X82" i="11"/>
  <c r="X183" i="11" s="1"/>
  <c r="R82" i="11"/>
  <c r="AQ82" i="11"/>
  <c r="U82" i="11"/>
  <c r="G82" i="11"/>
  <c r="AF82" i="11"/>
  <c r="N82" i="11"/>
  <c r="Z82" i="11"/>
  <c r="D82" i="11"/>
  <c r="AC82" i="11"/>
  <c r="O82" i="11"/>
  <c r="AN82" i="11"/>
  <c r="I82" i="11"/>
  <c r="AH82" i="11"/>
  <c r="L82" i="11"/>
  <c r="AK82" i="11"/>
  <c r="W82" i="11"/>
  <c r="Q82" i="11"/>
  <c r="AP82" i="11"/>
  <c r="T82" i="11"/>
  <c r="F82" i="11"/>
  <c r="AE82" i="11"/>
  <c r="Y82" i="11"/>
  <c r="AM82" i="11"/>
  <c r="M80" i="11"/>
  <c r="AI80" i="11"/>
  <c r="J80" i="11"/>
  <c r="X80" i="11"/>
  <c r="AD102" i="11" l="1"/>
  <c r="AD200" i="11" s="1"/>
  <c r="D199" i="11"/>
  <c r="T199" i="11"/>
  <c r="J181" i="11"/>
  <c r="J166" i="11"/>
  <c r="AQ183" i="11"/>
  <c r="AQ168" i="11"/>
  <c r="T181" i="11"/>
  <c r="T166" i="11"/>
  <c r="AI181" i="11"/>
  <c r="AI166" i="11"/>
  <c r="Q183" i="11"/>
  <c r="Q168" i="11"/>
  <c r="AC183" i="11"/>
  <c r="AC168" i="11"/>
  <c r="R183" i="11"/>
  <c r="R168" i="11"/>
  <c r="AD183" i="11"/>
  <c r="AD168" i="11"/>
  <c r="S183" i="11"/>
  <c r="S168" i="11"/>
  <c r="AC181" i="11"/>
  <c r="AC166" i="11"/>
  <c r="K181" i="11"/>
  <c r="K166" i="11"/>
  <c r="AL181" i="11"/>
  <c r="AL166" i="11"/>
  <c r="AB181" i="11"/>
  <c r="AB166" i="11"/>
  <c r="AP183" i="11"/>
  <c r="AP168" i="11"/>
  <c r="P183" i="11"/>
  <c r="P168" i="11"/>
  <c r="AQ181" i="11"/>
  <c r="AQ166" i="11"/>
  <c r="P181" i="11"/>
  <c r="P166" i="11"/>
  <c r="D181" i="11"/>
  <c r="D166" i="11"/>
  <c r="M181" i="11"/>
  <c r="M166" i="11"/>
  <c r="W183" i="11"/>
  <c r="W168" i="11"/>
  <c r="D183" i="11"/>
  <c r="D168" i="11"/>
  <c r="X168" i="11"/>
  <c r="E183" i="11"/>
  <c r="E168" i="11"/>
  <c r="AG183" i="11"/>
  <c r="AG168" i="11"/>
  <c r="AM181" i="11"/>
  <c r="AM166" i="11"/>
  <c r="U181" i="11"/>
  <c r="U166" i="11"/>
  <c r="Q181" i="11"/>
  <c r="Q166" i="11"/>
  <c r="AJ181" i="11"/>
  <c r="AJ166" i="11"/>
  <c r="O183" i="11"/>
  <c r="O168" i="11"/>
  <c r="AJ183" i="11"/>
  <c r="AJ168" i="11"/>
  <c r="AM183" i="11"/>
  <c r="AM168" i="11"/>
  <c r="AK183" i="11"/>
  <c r="AK168" i="11"/>
  <c r="Z183" i="11"/>
  <c r="Z168" i="11"/>
  <c r="AL183" i="11"/>
  <c r="AL168" i="11"/>
  <c r="AA183" i="11"/>
  <c r="AA168" i="11"/>
  <c r="AO181" i="11"/>
  <c r="AO166" i="11"/>
  <c r="I181" i="11"/>
  <c r="I166" i="11"/>
  <c r="N181" i="11"/>
  <c r="N166" i="11"/>
  <c r="AK181" i="11"/>
  <c r="AK166" i="11"/>
  <c r="M183" i="11"/>
  <c r="M168" i="11"/>
  <c r="AD181" i="11"/>
  <c r="AD166" i="11"/>
  <c r="N183" i="11"/>
  <c r="N168" i="11"/>
  <c r="L181" i="11"/>
  <c r="L166" i="11"/>
  <c r="Y181" i="11"/>
  <c r="Y166" i="11"/>
  <c r="AE183" i="11"/>
  <c r="AE168" i="11"/>
  <c r="AI183" i="11"/>
  <c r="AI168" i="11"/>
  <c r="R181" i="11"/>
  <c r="R166" i="11"/>
  <c r="V181" i="11"/>
  <c r="V166" i="11"/>
  <c r="O181" i="11"/>
  <c r="O166" i="11"/>
  <c r="Y183" i="11"/>
  <c r="Y168" i="11"/>
  <c r="AO183" i="11"/>
  <c r="AO168" i="11"/>
  <c r="AA181" i="11"/>
  <c r="AA166" i="11"/>
  <c r="AH183" i="11"/>
  <c r="AH168" i="11"/>
  <c r="AF183" i="11"/>
  <c r="AF168" i="11"/>
  <c r="AB183" i="11"/>
  <c r="AB168" i="11"/>
  <c r="H181" i="11"/>
  <c r="H166" i="11"/>
  <c r="F183" i="11"/>
  <c r="F168" i="11"/>
  <c r="I183" i="11"/>
  <c r="I168" i="11"/>
  <c r="G183" i="11"/>
  <c r="G168" i="11"/>
  <c r="J183" i="11"/>
  <c r="J168" i="11"/>
  <c r="H183" i="11"/>
  <c r="H168" i="11"/>
  <c r="AE181" i="11"/>
  <c r="AE166" i="11"/>
  <c r="AP181" i="11"/>
  <c r="AP166" i="11"/>
  <c r="W181" i="11"/>
  <c r="W166" i="11"/>
  <c r="Z181" i="11"/>
  <c r="Z166" i="11"/>
  <c r="AN181" i="11"/>
  <c r="AN166" i="11"/>
  <c r="L183" i="11"/>
  <c r="L168" i="11"/>
  <c r="AF181" i="11"/>
  <c r="AF166" i="11"/>
  <c r="X181" i="11"/>
  <c r="X166" i="11"/>
  <c r="T183" i="11"/>
  <c r="T168" i="11"/>
  <c r="AN183" i="11"/>
  <c r="AN168" i="11"/>
  <c r="U183" i="11"/>
  <c r="U168" i="11"/>
  <c r="K183" i="11"/>
  <c r="K168" i="11"/>
  <c r="V183" i="11"/>
  <c r="V168" i="11"/>
  <c r="AG181" i="11"/>
  <c r="AG166" i="11"/>
  <c r="AH181" i="11"/>
  <c r="AH166" i="11"/>
  <c r="S181" i="11"/>
  <c r="S166" i="11"/>
  <c r="G181" i="11"/>
  <c r="F181" i="11"/>
  <c r="E181" i="11"/>
  <c r="AJ102" i="11"/>
  <c r="AJ200" i="11" s="1"/>
  <c r="P102" i="11"/>
  <c r="P200" i="11" s="1"/>
  <c r="AI102" i="11"/>
  <c r="AI200" i="11" s="1"/>
  <c r="AQ102" i="11"/>
  <c r="AQ200" i="11" s="1"/>
  <c r="AF102" i="11"/>
  <c r="AF200" i="11" s="1"/>
  <c r="M102" i="11"/>
  <c r="M200" i="11" s="1"/>
  <c r="U102" i="11"/>
  <c r="U200" i="11" s="1"/>
  <c r="N102" i="11"/>
  <c r="N200" i="11" s="1"/>
  <c r="V102" i="11"/>
  <c r="V200" i="11" s="1"/>
  <c r="I102" i="11"/>
  <c r="I200" i="11" s="1"/>
  <c r="Q102" i="11"/>
  <c r="Q200" i="11" s="1"/>
  <c r="AG102" i="11"/>
  <c r="AG200" i="11" s="1"/>
  <c r="S102" i="11"/>
  <c r="S200" i="11" s="1"/>
  <c r="H102" i="11"/>
  <c r="AK102" i="11"/>
  <c r="AK200" i="11" s="1"/>
  <c r="R102" i="11"/>
  <c r="R200" i="11" s="1"/>
  <c r="AH102" i="11"/>
  <c r="AH200" i="11" s="1"/>
  <c r="AL102" i="11"/>
  <c r="AL200" i="11" s="1"/>
  <c r="AA102" i="11"/>
  <c r="AA200" i="11" s="1"/>
  <c r="O102" i="11"/>
  <c r="O200" i="11" s="1"/>
  <c r="AO102" i="11"/>
  <c r="AO200" i="11" s="1"/>
  <c r="L102" i="11"/>
  <c r="L200" i="11" s="1"/>
  <c r="W102" i="11"/>
  <c r="W200" i="11" s="1"/>
  <c r="J102" i="11"/>
  <c r="J200" i="11" s="1"/>
  <c r="T102" i="11"/>
  <c r="AE102" i="11"/>
  <c r="AE200" i="11" s="1"/>
  <c r="AP102" i="11"/>
  <c r="AP200" i="11" s="1"/>
  <c r="E102" i="11"/>
  <c r="E200" i="11" s="1"/>
  <c r="AM102" i="11"/>
  <c r="AM200" i="11" s="1"/>
  <c r="X102" i="11"/>
  <c r="X200" i="11" s="1"/>
  <c r="Z102" i="11"/>
  <c r="Z200" i="11" s="1"/>
  <c r="D102" i="11"/>
  <c r="AC102" i="11"/>
  <c r="AC200" i="11" s="1"/>
  <c r="F102" i="11"/>
  <c r="F200" i="11" s="1"/>
  <c r="AN102" i="11"/>
  <c r="AN200" i="11" s="1"/>
  <c r="Y102" i="11"/>
  <c r="Y200" i="11" s="1"/>
  <c r="K102" i="11"/>
  <c r="K200" i="11" s="1"/>
  <c r="AB102" i="11"/>
  <c r="AB200" i="11" s="1"/>
  <c r="G102" i="11"/>
  <c r="G200" i="11" s="1"/>
  <c r="H200" i="11" l="1"/>
  <c r="T200" i="11"/>
  <c r="D200" i="11"/>
  <c r="F43" i="9"/>
  <c r="F42" i="9"/>
  <c r="F41" i="9" l="1"/>
  <c r="F49" i="9"/>
  <c r="F47" i="9" l="1"/>
  <c r="F46" i="9" s="1"/>
  <c r="F133" i="9"/>
  <c r="F40" i="9"/>
  <c r="F50" i="9"/>
  <c r="F51" i="9" s="1"/>
  <c r="F53" i="9" l="1"/>
  <c r="F56" i="9" s="1"/>
  <c r="F54" i="9"/>
  <c r="F147" i="9" l="1"/>
  <c r="F52" i="9"/>
  <c r="F57" i="9"/>
  <c r="F148" i="9"/>
  <c r="F134" i="9"/>
  <c r="F135" i="9" l="1"/>
  <c r="E117" i="11"/>
  <c r="D117" i="11"/>
  <c r="Q117" i="11"/>
  <c r="M117" i="11"/>
  <c r="G117" i="11"/>
  <c r="R117" i="11"/>
  <c r="O117" i="11"/>
  <c r="N117" i="11"/>
  <c r="K117" i="11"/>
  <c r="J117" i="11"/>
  <c r="I117" i="11"/>
  <c r="L117" i="11"/>
  <c r="H117" i="11"/>
  <c r="F117" i="11"/>
  <c r="P117" i="11"/>
  <c r="S117" i="11"/>
  <c r="F55" i="9"/>
  <c r="F136" i="9"/>
  <c r="X117" i="11" l="1"/>
  <c r="AJ117" i="11"/>
  <c r="AM117" i="11"/>
  <c r="AA117" i="11"/>
  <c r="Z117" i="11"/>
  <c r="AL117" i="11"/>
  <c r="AE117" i="11"/>
  <c r="AQ117" i="11"/>
  <c r="AN117" i="11"/>
  <c r="AB117" i="11"/>
  <c r="AP117" i="11"/>
  <c r="AD117" i="11"/>
  <c r="W117" i="11"/>
  <c r="AI117" i="11"/>
  <c r="AG117" i="11"/>
  <c r="U117" i="11"/>
  <c r="Y117" i="11"/>
  <c r="AK117" i="11"/>
  <c r="AF117" i="11"/>
  <c r="T117" i="11"/>
  <c r="AH117" i="11"/>
  <c r="V117" i="11"/>
  <c r="AO117" i="11"/>
  <c r="AC117" i="11"/>
  <c r="C83" i="11"/>
  <c r="F137" i="9"/>
  <c r="C184" i="11" l="1"/>
  <c r="C169" i="11"/>
  <c r="C84" i="11"/>
  <c r="AD83" i="11"/>
  <c r="AD169" i="11" s="1"/>
  <c r="S83" i="11"/>
  <c r="S169" i="11" s="1"/>
  <c r="M83" i="11"/>
  <c r="M169" i="11" s="1"/>
  <c r="V83" i="11"/>
  <c r="V169" i="11" s="1"/>
  <c r="D83" i="11"/>
  <c r="AA83" i="11"/>
  <c r="AA169" i="11" s="1"/>
  <c r="G83" i="11"/>
  <c r="G169" i="11" s="1"/>
  <c r="Q83" i="11"/>
  <c r="Q169" i="11" s="1"/>
  <c r="AB83" i="11"/>
  <c r="AB169" i="11" s="1"/>
  <c r="K83" i="11"/>
  <c r="K169" i="11" s="1"/>
  <c r="F83" i="11"/>
  <c r="F169" i="11" s="1"/>
  <c r="AH83" i="11"/>
  <c r="AH169" i="11" s="1"/>
  <c r="O83" i="11"/>
  <c r="O169" i="11" s="1"/>
  <c r="AJ83" i="11"/>
  <c r="AJ169" i="11" s="1"/>
  <c r="T83" i="11"/>
  <c r="AL83" i="11"/>
  <c r="AL169" i="11" s="1"/>
  <c r="AF83" i="11"/>
  <c r="AF169" i="11" s="1"/>
  <c r="AG83" i="11"/>
  <c r="AG169" i="11" s="1"/>
  <c r="AI83" i="11"/>
  <c r="AI169" i="11" s="1"/>
  <c r="AE83" i="11"/>
  <c r="AE169" i="11" s="1"/>
  <c r="H83" i="11"/>
  <c r="AC83" i="11"/>
  <c r="AC169" i="11" s="1"/>
  <c r="W83" i="11"/>
  <c r="W169" i="11" s="1"/>
  <c r="L83" i="11"/>
  <c r="L169" i="11" s="1"/>
  <c r="AK83" i="11"/>
  <c r="AK169" i="11" s="1"/>
  <c r="Z83" i="11"/>
  <c r="Z169" i="11" s="1"/>
  <c r="P83" i="11"/>
  <c r="P169" i="11" s="1"/>
  <c r="E83" i="11"/>
  <c r="E169" i="11" s="1"/>
  <c r="AM83" i="11"/>
  <c r="AM169" i="11" s="1"/>
  <c r="N83" i="11"/>
  <c r="N169" i="11" s="1"/>
  <c r="I83" i="11"/>
  <c r="I169" i="11" s="1"/>
  <c r="U83" i="11"/>
  <c r="U169" i="11" s="1"/>
  <c r="AP83" i="11"/>
  <c r="AP169" i="11" s="1"/>
  <c r="R83" i="11"/>
  <c r="R169" i="11" s="1"/>
  <c r="AN83" i="11"/>
  <c r="AN169" i="11" s="1"/>
  <c r="J83" i="11"/>
  <c r="J169" i="11" s="1"/>
  <c r="X83" i="11"/>
  <c r="X169" i="11" s="1"/>
  <c r="AQ83" i="11"/>
  <c r="AQ169" i="11" s="1"/>
  <c r="AO83" i="11"/>
  <c r="AO169" i="11" s="1"/>
  <c r="Y83" i="11"/>
  <c r="Y169" i="11" s="1"/>
  <c r="D184" i="11" l="1"/>
  <c r="D169" i="11"/>
  <c r="C185" i="11"/>
  <c r="C170" i="11"/>
  <c r="H184" i="11"/>
  <c r="H169" i="11"/>
  <c r="T184" i="11"/>
  <c r="T169" i="11"/>
  <c r="O184" i="11"/>
  <c r="X184" i="11"/>
  <c r="AA184" i="11"/>
  <c r="AN184" i="11"/>
  <c r="AE184" i="11"/>
  <c r="AD184" i="11"/>
  <c r="P184" i="11"/>
  <c r="AH184" i="11"/>
  <c r="R184" i="11"/>
  <c r="Z184" i="11"/>
  <c r="AI184" i="11"/>
  <c r="F184" i="11"/>
  <c r="V184" i="11"/>
  <c r="M184" i="11"/>
  <c r="Y184" i="11"/>
  <c r="AK184" i="11"/>
  <c r="AF184" i="11"/>
  <c r="AB184" i="11"/>
  <c r="AM184" i="11"/>
  <c r="J184" i="11"/>
  <c r="AP184" i="11"/>
  <c r="K184" i="11"/>
  <c r="AO184" i="11"/>
  <c r="I184" i="11"/>
  <c r="L184" i="11"/>
  <c r="AL184" i="11"/>
  <c r="Q184" i="11"/>
  <c r="S184" i="11"/>
  <c r="AC184" i="11"/>
  <c r="E184" i="11"/>
  <c r="AG184" i="11"/>
  <c r="U184" i="11"/>
  <c r="AQ184" i="11"/>
  <c r="N184" i="11"/>
  <c r="W184" i="11"/>
  <c r="G184" i="11"/>
  <c r="AJ184" i="11"/>
  <c r="AE84" i="11"/>
  <c r="AE170" i="11" s="1"/>
  <c r="W84" i="11"/>
  <c r="W170" i="11" s="1"/>
  <c r="D84" i="11"/>
  <c r="R84" i="11"/>
  <c r="R170" i="11" s="1"/>
  <c r="AJ84" i="11"/>
  <c r="AJ170" i="11" s="1"/>
  <c r="AL84" i="11"/>
  <c r="AL170" i="11" s="1"/>
  <c r="S84" i="11"/>
  <c r="S170" i="11" s="1"/>
  <c r="I84" i="11"/>
  <c r="I170" i="11" s="1"/>
  <c r="J84" i="11"/>
  <c r="J170" i="11" s="1"/>
  <c r="O84" i="11"/>
  <c r="O170" i="11" s="1"/>
  <c r="AA84" i="11"/>
  <c r="AA170" i="11" s="1"/>
  <c r="AG84" i="11"/>
  <c r="AG170" i="11" s="1"/>
  <c r="L84" i="11"/>
  <c r="L170" i="11" s="1"/>
  <c r="AK84" i="11"/>
  <c r="AK170" i="11" s="1"/>
  <c r="Z84" i="11"/>
  <c r="Z170" i="11" s="1"/>
  <c r="H84" i="11"/>
  <c r="AQ84" i="11"/>
  <c r="AQ170" i="11" s="1"/>
  <c r="AI84" i="11"/>
  <c r="AI170" i="11" s="1"/>
  <c r="Y84" i="11"/>
  <c r="Y170" i="11" s="1"/>
  <c r="X84" i="11"/>
  <c r="X170" i="11" s="1"/>
  <c r="AM84" i="11"/>
  <c r="AM170" i="11" s="1"/>
  <c r="AH84" i="11"/>
  <c r="AH170" i="11" s="1"/>
  <c r="K84" i="11"/>
  <c r="K170" i="11" s="1"/>
  <c r="V84" i="11"/>
  <c r="V170" i="11" s="1"/>
  <c r="N84" i="11"/>
  <c r="N170" i="11" s="1"/>
  <c r="AP84" i="11"/>
  <c r="AP170" i="11" s="1"/>
  <c r="G84" i="11"/>
  <c r="AO84" i="11"/>
  <c r="AO170" i="11" s="1"/>
  <c r="F84" i="11"/>
  <c r="AB84" i="11"/>
  <c r="AB170" i="11" s="1"/>
  <c r="T84" i="11"/>
  <c r="AF84" i="11"/>
  <c r="AF170" i="11" s="1"/>
  <c r="P84" i="11"/>
  <c r="P170" i="11" s="1"/>
  <c r="Q84" i="11"/>
  <c r="Q170" i="11" s="1"/>
  <c r="AN84" i="11"/>
  <c r="AN170" i="11" s="1"/>
  <c r="AC84" i="11"/>
  <c r="AC170" i="11" s="1"/>
  <c r="E84" i="11"/>
  <c r="AD84" i="11"/>
  <c r="AD170" i="11" s="1"/>
  <c r="M84" i="11"/>
  <c r="M170" i="11" s="1"/>
  <c r="U84" i="11"/>
  <c r="U170" i="11" s="1"/>
  <c r="D185" i="11" l="1"/>
  <c r="D170" i="11"/>
  <c r="G185" i="11"/>
  <c r="G170" i="11"/>
  <c r="T185" i="11"/>
  <c r="T170" i="11"/>
  <c r="H185" i="11"/>
  <c r="H170" i="11"/>
  <c r="E185" i="11"/>
  <c r="E170" i="11"/>
  <c r="F185" i="11"/>
  <c r="F170" i="11"/>
  <c r="K185" i="11"/>
  <c r="Z185" i="11"/>
  <c r="S185" i="11"/>
  <c r="AD185" i="11"/>
  <c r="AB185" i="11"/>
  <c r="AH185" i="11"/>
  <c r="AK185" i="11"/>
  <c r="AL185" i="11"/>
  <c r="AC185" i="11"/>
  <c r="X185" i="11"/>
  <c r="AG185" i="11"/>
  <c r="AM185" i="11"/>
  <c r="L185" i="11"/>
  <c r="AO185" i="11"/>
  <c r="AN185" i="11"/>
  <c r="Y185" i="11"/>
  <c r="AA185" i="11"/>
  <c r="R185" i="11"/>
  <c r="AJ185" i="11"/>
  <c r="Q185" i="11"/>
  <c r="AI185" i="11"/>
  <c r="O185" i="11"/>
  <c r="P185" i="11"/>
  <c r="AQ185" i="11"/>
  <c r="J185" i="11"/>
  <c r="W185" i="11"/>
  <c r="M185" i="11"/>
  <c r="AP185" i="11"/>
  <c r="N185" i="11"/>
  <c r="U185" i="11"/>
  <c r="AF185" i="11"/>
  <c r="V185" i="11"/>
  <c r="I185" i="11"/>
  <c r="AE185" i="11"/>
  <c r="F126" i="9" l="1"/>
  <c r="G126" i="9"/>
  <c r="C94" i="11" l="1"/>
  <c r="C192" i="11" s="1"/>
  <c r="C76" i="11"/>
  <c r="AO76" i="11" s="1"/>
  <c r="AO162" i="11" s="1"/>
  <c r="G131" i="9"/>
  <c r="F131" i="9"/>
  <c r="D94" i="11" l="1"/>
  <c r="AJ94" i="11"/>
  <c r="AJ192" i="11" s="1"/>
  <c r="P76" i="11"/>
  <c r="P162" i="11" s="1"/>
  <c r="AE94" i="11"/>
  <c r="AE192" i="11" s="1"/>
  <c r="AD94" i="11"/>
  <c r="AD192" i="11" s="1"/>
  <c r="AB94" i="11"/>
  <c r="AB192" i="11" s="1"/>
  <c r="AC94" i="11"/>
  <c r="AC192" i="11" s="1"/>
  <c r="K94" i="11"/>
  <c r="K192" i="11" s="1"/>
  <c r="Q94" i="11"/>
  <c r="Q192" i="11" s="1"/>
  <c r="AL94" i="11"/>
  <c r="AL192" i="11" s="1"/>
  <c r="F94" i="11"/>
  <c r="F192" i="11" s="1"/>
  <c r="P94" i="11"/>
  <c r="P192" i="11" s="1"/>
  <c r="AF94" i="11"/>
  <c r="AH94" i="11"/>
  <c r="AH192" i="11" s="1"/>
  <c r="R94" i="11"/>
  <c r="R192" i="11" s="1"/>
  <c r="E94" i="11"/>
  <c r="E192" i="11" s="1"/>
  <c r="AK94" i="11"/>
  <c r="AK192" i="11" s="1"/>
  <c r="AP94" i="11"/>
  <c r="AP192" i="11" s="1"/>
  <c r="W94" i="11"/>
  <c r="W192" i="11" s="1"/>
  <c r="X94" i="11"/>
  <c r="X192" i="11" s="1"/>
  <c r="Z94" i="11"/>
  <c r="Z192" i="11" s="1"/>
  <c r="T94" i="11"/>
  <c r="AM94" i="11"/>
  <c r="AM192" i="11" s="1"/>
  <c r="I94" i="11"/>
  <c r="I192" i="11" s="1"/>
  <c r="AG94" i="11"/>
  <c r="AG192" i="11" s="1"/>
  <c r="J94" i="11"/>
  <c r="J192" i="11" s="1"/>
  <c r="G94" i="11"/>
  <c r="G192" i="11" s="1"/>
  <c r="L94" i="11"/>
  <c r="L192" i="11" s="1"/>
  <c r="AO94" i="11"/>
  <c r="AO192" i="11" s="1"/>
  <c r="Y94" i="11"/>
  <c r="Y192" i="11" s="1"/>
  <c r="AN94" i="11"/>
  <c r="AN192" i="11" s="1"/>
  <c r="D192" i="11"/>
  <c r="T76" i="11"/>
  <c r="C162" i="11"/>
  <c r="AK76" i="11"/>
  <c r="AK162" i="11" s="1"/>
  <c r="G76" i="11"/>
  <c r="G162" i="11" s="1"/>
  <c r="AH76" i="11"/>
  <c r="AH162" i="11" s="1"/>
  <c r="U76" i="11"/>
  <c r="U162" i="11" s="1"/>
  <c r="M76" i="11"/>
  <c r="M162" i="11" s="1"/>
  <c r="Q76" i="11"/>
  <c r="Q162" i="11" s="1"/>
  <c r="R76" i="11"/>
  <c r="R162" i="11" s="1"/>
  <c r="O76" i="11"/>
  <c r="O162" i="11" s="1"/>
  <c r="F76" i="11"/>
  <c r="AI76" i="11"/>
  <c r="AI162" i="11" s="1"/>
  <c r="AD76" i="11"/>
  <c r="I76" i="11"/>
  <c r="J76" i="11"/>
  <c r="J162" i="11" s="1"/>
  <c r="C177" i="11"/>
  <c r="L76" i="11"/>
  <c r="L162" i="11" s="1"/>
  <c r="Z76" i="11"/>
  <c r="S76" i="11"/>
  <c r="S162" i="11" s="1"/>
  <c r="X76" i="11"/>
  <c r="AE76" i="11"/>
  <c r="D76" i="11"/>
  <c r="Y76" i="11"/>
  <c r="E76" i="11"/>
  <c r="AQ76" i="11"/>
  <c r="AQ162" i="11" s="1"/>
  <c r="AA76" i="11"/>
  <c r="AA162" i="11" s="1"/>
  <c r="N76" i="11"/>
  <c r="N162" i="11" s="1"/>
  <c r="AJ76" i="11"/>
  <c r="AB76" i="11"/>
  <c r="AL76" i="11"/>
  <c r="AM76" i="11"/>
  <c r="W76" i="11"/>
  <c r="V76" i="11"/>
  <c r="V162" i="11" s="1"/>
  <c r="AF76" i="11"/>
  <c r="AG76" i="11"/>
  <c r="AP76" i="11"/>
  <c r="AN76" i="11"/>
  <c r="AC76" i="11"/>
  <c r="K76" i="11"/>
  <c r="H76" i="11"/>
  <c r="V94" i="11"/>
  <c r="V192" i="11" s="1"/>
  <c r="N94" i="11"/>
  <c r="AA94" i="11"/>
  <c r="AA192" i="11" s="1"/>
  <c r="M94" i="11"/>
  <c r="AQ94" i="11"/>
  <c r="AQ192" i="11" s="1"/>
  <c r="O94" i="11"/>
  <c r="O192" i="11" s="1"/>
  <c r="AI94" i="11"/>
  <c r="AI192" i="11" s="1"/>
  <c r="S94" i="11"/>
  <c r="S192" i="11" s="1"/>
  <c r="U94" i="11"/>
  <c r="U192" i="11" s="1"/>
  <c r="H94" i="11"/>
  <c r="G90" i="9"/>
  <c r="G91" i="9" s="1"/>
  <c r="C99" i="11"/>
  <c r="C197" i="11" s="1"/>
  <c r="F90" i="9"/>
  <c r="F91" i="9" s="1"/>
  <c r="C81" i="11"/>
  <c r="C167" i="11" s="1"/>
  <c r="AF192" i="11" l="1"/>
  <c r="T192" i="11"/>
  <c r="T177" i="11"/>
  <c r="L177" i="11"/>
  <c r="P177" i="11"/>
  <c r="R177" i="11"/>
  <c r="AO177" i="11"/>
  <c r="H162" i="11"/>
  <c r="T162" i="11"/>
  <c r="G177" i="11"/>
  <c r="H192" i="11"/>
  <c r="AH177" i="11"/>
  <c r="J177" i="11"/>
  <c r="M177" i="11"/>
  <c r="M192" i="11"/>
  <c r="N177" i="11"/>
  <c r="N192" i="11"/>
  <c r="Q177" i="11"/>
  <c r="AG177" i="11"/>
  <c r="AG162" i="11"/>
  <c r="D177" i="11"/>
  <c r="D162" i="11"/>
  <c r="I177" i="11"/>
  <c r="I162" i="11"/>
  <c r="AP177" i="11"/>
  <c r="AP162" i="11"/>
  <c r="AF177" i="11"/>
  <c r="AF162" i="11"/>
  <c r="AE177" i="11"/>
  <c r="AE162" i="11"/>
  <c r="AD177" i="11"/>
  <c r="AD162" i="11"/>
  <c r="F177" i="11"/>
  <c r="F162" i="11"/>
  <c r="X177" i="11"/>
  <c r="X162" i="11"/>
  <c r="AI177" i="11"/>
  <c r="K177" i="11"/>
  <c r="K162" i="11"/>
  <c r="AM177" i="11"/>
  <c r="AM162" i="11"/>
  <c r="E177" i="11"/>
  <c r="E162" i="11"/>
  <c r="Z177" i="11"/>
  <c r="Z162" i="11"/>
  <c r="AN177" i="11"/>
  <c r="AN162" i="11"/>
  <c r="AB177" i="11"/>
  <c r="AB162" i="11"/>
  <c r="AJ177" i="11"/>
  <c r="AJ162" i="11"/>
  <c r="W177" i="11"/>
  <c r="W162" i="11"/>
  <c r="AK177" i="11"/>
  <c r="AC177" i="11"/>
  <c r="AC162" i="11"/>
  <c r="AL177" i="11"/>
  <c r="AL162" i="11"/>
  <c r="Y177" i="11"/>
  <c r="Y162" i="11"/>
  <c r="U177" i="11"/>
  <c r="AA177" i="11"/>
  <c r="O177" i="11"/>
  <c r="S177" i="11"/>
  <c r="AQ177" i="11"/>
  <c r="V177" i="11"/>
  <c r="H177" i="11"/>
  <c r="J81" i="11"/>
  <c r="J167" i="11" s="1"/>
  <c r="AQ81" i="11"/>
  <c r="AQ167" i="11" s="1"/>
  <c r="AC81" i="11"/>
  <c r="AC167" i="11" s="1"/>
  <c r="AE81" i="11"/>
  <c r="AE167" i="11" s="1"/>
  <c r="K81" i="11"/>
  <c r="K167" i="11" s="1"/>
  <c r="S81" i="11"/>
  <c r="S167" i="11" s="1"/>
  <c r="AA81" i="11"/>
  <c r="AA167" i="11" s="1"/>
  <c r="M81" i="11"/>
  <c r="M167" i="11" s="1"/>
  <c r="AG81" i="11"/>
  <c r="AG167" i="11" s="1"/>
  <c r="U81" i="11"/>
  <c r="U167" i="11" s="1"/>
  <c r="N81" i="11"/>
  <c r="N167" i="11" s="1"/>
  <c r="E81" i="11"/>
  <c r="E167" i="11" s="1"/>
  <c r="Q81" i="11"/>
  <c r="Q167" i="11" s="1"/>
  <c r="Y81" i="11"/>
  <c r="Y167" i="11" s="1"/>
  <c r="H81" i="11"/>
  <c r="V81" i="11"/>
  <c r="V167" i="11" s="1"/>
  <c r="AJ81" i="11"/>
  <c r="AJ167" i="11" s="1"/>
  <c r="AK81" i="11"/>
  <c r="AK167" i="11" s="1"/>
  <c r="AO81" i="11"/>
  <c r="AO167" i="11" s="1"/>
  <c r="AP81" i="11"/>
  <c r="AP167" i="11" s="1"/>
  <c r="Z81" i="11"/>
  <c r="Z167" i="11" s="1"/>
  <c r="AF81" i="11"/>
  <c r="AF167" i="11" s="1"/>
  <c r="D81" i="11"/>
  <c r="L81" i="11"/>
  <c r="L167" i="11" s="1"/>
  <c r="P81" i="11"/>
  <c r="P167" i="11" s="1"/>
  <c r="AD81" i="11"/>
  <c r="AD167" i="11" s="1"/>
  <c r="W81" i="11"/>
  <c r="W167" i="11" s="1"/>
  <c r="AB81" i="11"/>
  <c r="AB167" i="11" s="1"/>
  <c r="AL81" i="11"/>
  <c r="AL167" i="11" s="1"/>
  <c r="AM81" i="11"/>
  <c r="AM167" i="11" s="1"/>
  <c r="G81" i="11"/>
  <c r="G167" i="11" s="1"/>
  <c r="O81" i="11"/>
  <c r="O167" i="11" s="1"/>
  <c r="X81" i="11"/>
  <c r="X167" i="11" s="1"/>
  <c r="T81" i="11"/>
  <c r="AH81" i="11"/>
  <c r="AH167" i="11" s="1"/>
  <c r="AI81" i="11"/>
  <c r="AI167" i="11" s="1"/>
  <c r="F81" i="11"/>
  <c r="F167" i="11" s="1"/>
  <c r="I81" i="11"/>
  <c r="I167" i="11" s="1"/>
  <c r="AN81" i="11"/>
  <c r="AN167" i="11" s="1"/>
  <c r="R81" i="11"/>
  <c r="R167" i="11" s="1"/>
  <c r="AC99" i="11"/>
  <c r="AC197" i="11" s="1"/>
  <c r="J99" i="11"/>
  <c r="J197" i="11" s="1"/>
  <c r="AI99" i="11"/>
  <c r="AI197" i="11" s="1"/>
  <c r="T99" i="11"/>
  <c r="N99" i="11"/>
  <c r="N197" i="11" s="1"/>
  <c r="W99" i="11"/>
  <c r="W197" i="11" s="1"/>
  <c r="AN99" i="11"/>
  <c r="AN197" i="11" s="1"/>
  <c r="AL99" i="11"/>
  <c r="AL197" i="11" s="1"/>
  <c r="AH99" i="11"/>
  <c r="AH197" i="11" s="1"/>
  <c r="AK99" i="11"/>
  <c r="AK197" i="11" s="1"/>
  <c r="AP99" i="11"/>
  <c r="AP197" i="11" s="1"/>
  <c r="AJ99" i="11"/>
  <c r="AJ197" i="11" s="1"/>
  <c r="AB99" i="11"/>
  <c r="AB197" i="11" s="1"/>
  <c r="C182" i="11"/>
  <c r="Q99" i="11"/>
  <c r="Q197" i="11" s="1"/>
  <c r="R99" i="11"/>
  <c r="R197" i="11" s="1"/>
  <c r="U99" i="11"/>
  <c r="U197" i="11" s="1"/>
  <c r="M99" i="11"/>
  <c r="M197" i="11" s="1"/>
  <c r="P99" i="11"/>
  <c r="P197" i="11" s="1"/>
  <c r="I99" i="11"/>
  <c r="I197" i="11" s="1"/>
  <c r="Y99" i="11"/>
  <c r="Y197" i="11" s="1"/>
  <c r="AO99" i="11"/>
  <c r="AO197" i="11" s="1"/>
  <c r="AF99" i="11"/>
  <c r="AF197" i="11" s="1"/>
  <c r="AG99" i="11"/>
  <c r="AG197" i="11" s="1"/>
  <c r="K99" i="11"/>
  <c r="E99" i="11"/>
  <c r="E197" i="11" s="1"/>
  <c r="F99" i="11"/>
  <c r="F197" i="11" s="1"/>
  <c r="AQ99" i="11"/>
  <c r="AQ197" i="11" s="1"/>
  <c r="S99" i="11"/>
  <c r="S197" i="11" s="1"/>
  <c r="L99" i="11"/>
  <c r="L197" i="11" s="1"/>
  <c r="D99" i="11"/>
  <c r="Z99" i="11"/>
  <c r="Z197" i="11" s="1"/>
  <c r="G99" i="11"/>
  <c r="G197" i="11" s="1"/>
  <c r="O99" i="11"/>
  <c r="O197" i="11" s="1"/>
  <c r="V99" i="11"/>
  <c r="V197" i="11" s="1"/>
  <c r="AA99" i="11"/>
  <c r="AA197" i="11" s="1"/>
  <c r="X99" i="11"/>
  <c r="H99" i="11"/>
  <c r="AE99" i="11"/>
  <c r="AE197" i="11" s="1"/>
  <c r="AM99" i="11"/>
  <c r="AM197" i="11" s="1"/>
  <c r="AD99" i="11"/>
  <c r="AD197" i="11" s="1"/>
  <c r="T197" i="11" l="1"/>
  <c r="H197" i="11"/>
  <c r="D167" i="11"/>
  <c r="H167" i="11"/>
  <c r="T167" i="11"/>
  <c r="D197" i="11"/>
  <c r="K182" i="11"/>
  <c r="K197" i="11"/>
  <c r="X182" i="11"/>
  <c r="X197" i="11"/>
  <c r="AO182" i="11"/>
  <c r="AA182" i="11"/>
  <c r="E182" i="11"/>
  <c r="AQ182" i="11"/>
  <c r="AE182" i="11"/>
  <c r="W182" i="11"/>
  <c r="J182" i="11"/>
  <c r="AJ182" i="11"/>
  <c r="P182" i="11"/>
  <c r="AK182" i="11"/>
  <c r="AD182" i="11"/>
  <c r="U182" i="11"/>
  <c r="AH182" i="11"/>
  <c r="AC182" i="11"/>
  <c r="AG182" i="11"/>
  <c r="AM182" i="11"/>
  <c r="AF182" i="11"/>
  <c r="AL182" i="11"/>
  <c r="S182" i="11"/>
  <c r="Y182" i="11"/>
  <c r="AB182" i="11"/>
  <c r="N182" i="11"/>
  <c r="Q182" i="11"/>
  <c r="I182" i="11"/>
  <c r="Z182" i="11"/>
  <c r="F182" i="11"/>
  <c r="AP182" i="11"/>
  <c r="AI182" i="11"/>
  <c r="O182" i="11"/>
  <c r="M182" i="11"/>
  <c r="G182" i="11"/>
  <c r="R182" i="11"/>
  <c r="D182" i="11"/>
  <c r="AN182" i="11"/>
  <c r="T182" i="11"/>
  <c r="H182" i="11"/>
  <c r="V182" i="11"/>
  <c r="L182" i="11"/>
  <c r="T196" i="11" l="1"/>
  <c r="I154" i="9" l="1"/>
  <c r="I140" i="9" s="1"/>
  <c r="J154" i="9"/>
  <c r="J140" i="9" s="1"/>
  <c r="I11" i="9"/>
  <c r="J11" i="9"/>
  <c r="I141" i="9" l="1"/>
  <c r="I142" i="9"/>
  <c r="J74" i="9"/>
  <c r="J78" i="9" s="1"/>
  <c r="J79" i="9" s="1"/>
  <c r="J141" i="9"/>
  <c r="I74" i="9"/>
  <c r="I78" i="9" s="1"/>
  <c r="I79" i="9" s="1"/>
  <c r="J133" i="9" l="1"/>
  <c r="J131" i="9"/>
  <c r="J132" i="9"/>
  <c r="J130" i="9"/>
  <c r="I143" i="9"/>
  <c r="I132" i="9"/>
  <c r="I130" i="9"/>
  <c r="I133" i="9"/>
  <c r="I131" i="9"/>
  <c r="J142" i="9"/>
  <c r="C136" i="11" l="1"/>
  <c r="J143" i="9"/>
  <c r="C152" i="11"/>
  <c r="J137" i="9"/>
  <c r="J136" i="9"/>
  <c r="I144" i="9"/>
  <c r="C154" i="11"/>
  <c r="C135" i="11"/>
  <c r="C153" i="11"/>
  <c r="I137" i="9"/>
  <c r="I136" i="9"/>
  <c r="C134" i="11"/>
  <c r="Q134" i="11" l="1"/>
  <c r="Q211" i="11" s="1"/>
  <c r="H134" i="11"/>
  <c r="H211" i="11" s="1"/>
  <c r="E134" i="11"/>
  <c r="E211" i="11" s="1"/>
  <c r="K134" i="11"/>
  <c r="K211" i="11" s="1"/>
  <c r="N134" i="11"/>
  <c r="N211" i="11" s="1"/>
  <c r="J134" i="11"/>
  <c r="J211" i="11" s="1"/>
  <c r="M134" i="11"/>
  <c r="M211" i="11" s="1"/>
  <c r="S134" i="11"/>
  <c r="S211" i="11" s="1"/>
  <c r="D134" i="11"/>
  <c r="D211" i="11" s="1"/>
  <c r="P134" i="11"/>
  <c r="P211" i="11" s="1"/>
  <c r="L134" i="11"/>
  <c r="L211" i="11" s="1"/>
  <c r="I134" i="11"/>
  <c r="I211" i="11" s="1"/>
  <c r="F134" i="11"/>
  <c r="F211" i="11" s="1"/>
  <c r="G134" i="11"/>
  <c r="G211" i="11" s="1"/>
  <c r="R134" i="11"/>
  <c r="R211" i="11" s="1"/>
  <c r="O134" i="11"/>
  <c r="O211" i="11" s="1"/>
  <c r="AE134" i="11"/>
  <c r="AE211" i="11" s="1"/>
  <c r="AD134" i="11"/>
  <c r="AD211" i="11" s="1"/>
  <c r="AC134" i="11"/>
  <c r="AC211" i="11" s="1"/>
  <c r="C211" i="11"/>
  <c r="AI134" i="11"/>
  <c r="AI211" i="11" s="1"/>
  <c r="W134" i="11"/>
  <c r="W211" i="11" s="1"/>
  <c r="AQ134" i="11"/>
  <c r="AQ211" i="11" s="1"/>
  <c r="T134" i="11"/>
  <c r="T211" i="11" s="1"/>
  <c r="AG134" i="11"/>
  <c r="AG211" i="11" s="1"/>
  <c r="V134" i="11"/>
  <c r="V211" i="11" s="1"/>
  <c r="AA134" i="11"/>
  <c r="AA211" i="11" s="1"/>
  <c r="AM134" i="11"/>
  <c r="AM211" i="11" s="1"/>
  <c r="AP134" i="11"/>
  <c r="AP211" i="11" s="1"/>
  <c r="AN134" i="11"/>
  <c r="AN211" i="11" s="1"/>
  <c r="Z134" i="11"/>
  <c r="Z211" i="11" s="1"/>
  <c r="U134" i="11"/>
  <c r="U211" i="11" s="1"/>
  <c r="Y134" i="11"/>
  <c r="Y211" i="11" s="1"/>
  <c r="AK134" i="11"/>
  <c r="AK211" i="11" s="1"/>
  <c r="AB134" i="11"/>
  <c r="AB211" i="11" s="1"/>
  <c r="AJ134" i="11"/>
  <c r="AJ211" i="11" s="1"/>
  <c r="AO134" i="11"/>
  <c r="AO211" i="11" s="1"/>
  <c r="AH134" i="11"/>
  <c r="AH211" i="11" s="1"/>
  <c r="X134" i="11"/>
  <c r="X211" i="11" s="1"/>
  <c r="AL134" i="11"/>
  <c r="AL211" i="11" s="1"/>
  <c r="AF134" i="11"/>
  <c r="AF211" i="11" s="1"/>
  <c r="C155" i="11"/>
  <c r="S154" i="11"/>
  <c r="M154" i="11"/>
  <c r="AN154" i="11"/>
  <c r="AB154" i="11"/>
  <c r="V154" i="11"/>
  <c r="K154" i="11"/>
  <c r="Q154" i="11"/>
  <c r="AQ154" i="11"/>
  <c r="C228" i="11"/>
  <c r="J154" i="11"/>
  <c r="AL154" i="11"/>
  <c r="R154" i="11"/>
  <c r="AP154" i="11"/>
  <c r="Z154" i="11"/>
  <c r="AE154" i="11"/>
  <c r="W154" i="11"/>
  <c r="AO154" i="11"/>
  <c r="AH154" i="11"/>
  <c r="AF154" i="11"/>
  <c r="L154" i="11"/>
  <c r="N154" i="11"/>
  <c r="AC154" i="11"/>
  <c r="F154" i="11"/>
  <c r="AA154" i="11"/>
  <c r="AK154" i="11"/>
  <c r="X154" i="11"/>
  <c r="AI154" i="11"/>
  <c r="Y154" i="11"/>
  <c r="I154" i="11"/>
  <c r="G154" i="11"/>
  <c r="AG154" i="11"/>
  <c r="P154" i="11"/>
  <c r="AM154" i="11"/>
  <c r="T154" i="11"/>
  <c r="E154" i="11"/>
  <c r="D154" i="11"/>
  <c r="AJ154" i="11"/>
  <c r="H154" i="11"/>
  <c r="AD154" i="11"/>
  <c r="O154" i="11"/>
  <c r="U154" i="11"/>
  <c r="J144" i="9"/>
  <c r="O152" i="11"/>
  <c r="O226" i="11" s="1"/>
  <c r="L152" i="11"/>
  <c r="L226" i="11" s="1"/>
  <c r="F152" i="11"/>
  <c r="F226" i="11" s="1"/>
  <c r="AK152" i="11"/>
  <c r="AA152" i="11"/>
  <c r="AA226" i="11" s="1"/>
  <c r="AH152" i="11"/>
  <c r="AH226" i="11" s="1"/>
  <c r="I152" i="11"/>
  <c r="I226" i="11" s="1"/>
  <c r="J152" i="11"/>
  <c r="J226" i="11" s="1"/>
  <c r="S152" i="11"/>
  <c r="S226" i="11" s="1"/>
  <c r="X152" i="11"/>
  <c r="AG152" i="11"/>
  <c r="AG226" i="11" s="1"/>
  <c r="T152" i="11"/>
  <c r="V152" i="11"/>
  <c r="V226" i="11" s="1"/>
  <c r="D152" i="11"/>
  <c r="D226" i="11" s="1"/>
  <c r="K152" i="11"/>
  <c r="K226" i="11" s="1"/>
  <c r="U152" i="11"/>
  <c r="H152" i="11"/>
  <c r="H226" i="11" s="1"/>
  <c r="AQ152" i="11"/>
  <c r="AO152" i="11"/>
  <c r="AO226" i="11" s="1"/>
  <c r="R152" i="11"/>
  <c r="AE152" i="11"/>
  <c r="AE226" i="11" s="1"/>
  <c r="M152" i="11"/>
  <c r="Z152" i="11"/>
  <c r="AF152" i="11"/>
  <c r="AF226" i="11" s="1"/>
  <c r="AN152" i="11"/>
  <c r="AN226" i="11" s="1"/>
  <c r="AD152" i="11"/>
  <c r="AD226" i="11" s="1"/>
  <c r="AL152" i="11"/>
  <c r="G152" i="11"/>
  <c r="G226" i="11" s="1"/>
  <c r="AJ152" i="11"/>
  <c r="AJ226" i="11" s="1"/>
  <c r="AB152" i="11"/>
  <c r="AB226" i="11" s="1"/>
  <c r="Y152" i="11"/>
  <c r="Y226" i="11" s="1"/>
  <c r="AC152" i="11"/>
  <c r="AC226" i="11" s="1"/>
  <c r="C226" i="11"/>
  <c r="AM152" i="11"/>
  <c r="AM226" i="11" s="1"/>
  <c r="E152" i="11"/>
  <c r="E226" i="11" s="1"/>
  <c r="P152" i="11"/>
  <c r="P226" i="11" s="1"/>
  <c r="AP152" i="11"/>
  <c r="AP226" i="11" s="1"/>
  <c r="W152" i="11"/>
  <c r="W226" i="11" s="1"/>
  <c r="Q152" i="11"/>
  <c r="Q226" i="11" s="1"/>
  <c r="AI152" i="11"/>
  <c r="AI226" i="11" s="1"/>
  <c r="N152" i="11"/>
  <c r="N226" i="11" s="1"/>
  <c r="X135" i="11"/>
  <c r="X212" i="11" s="1"/>
  <c r="AE135" i="11"/>
  <c r="AE212" i="11" s="1"/>
  <c r="AJ135" i="11"/>
  <c r="AJ212" i="11" s="1"/>
  <c r="Z135" i="11"/>
  <c r="Z212" i="11" s="1"/>
  <c r="AC135" i="11"/>
  <c r="AC212" i="11" s="1"/>
  <c r="AP135" i="11"/>
  <c r="AP212" i="11" s="1"/>
  <c r="D135" i="11"/>
  <c r="D212" i="11" s="1"/>
  <c r="Q135" i="11"/>
  <c r="Q212" i="11" s="1"/>
  <c r="M135" i="11"/>
  <c r="M212" i="11" s="1"/>
  <c r="G135" i="11"/>
  <c r="G212" i="11" s="1"/>
  <c r="AI135" i="11"/>
  <c r="AI212" i="11" s="1"/>
  <c r="Y135" i="11"/>
  <c r="Y212" i="11" s="1"/>
  <c r="T135" i="11"/>
  <c r="T212" i="11" s="1"/>
  <c r="AQ135" i="11"/>
  <c r="AQ212" i="11" s="1"/>
  <c r="AM135" i="11"/>
  <c r="AM212" i="11" s="1"/>
  <c r="AL135" i="11"/>
  <c r="AL212" i="11" s="1"/>
  <c r="F135" i="11"/>
  <c r="F212" i="11" s="1"/>
  <c r="P135" i="11"/>
  <c r="P212" i="11" s="1"/>
  <c r="S135" i="11"/>
  <c r="S212" i="11" s="1"/>
  <c r="K135" i="11"/>
  <c r="K212" i="11" s="1"/>
  <c r="AN135" i="11"/>
  <c r="AN212" i="11" s="1"/>
  <c r="AD135" i="11"/>
  <c r="AD212" i="11" s="1"/>
  <c r="AO135" i="11"/>
  <c r="AO212" i="11" s="1"/>
  <c r="AK135" i="11"/>
  <c r="AK212" i="11" s="1"/>
  <c r="AH135" i="11"/>
  <c r="AH212" i="11" s="1"/>
  <c r="U135" i="11"/>
  <c r="U212" i="11" s="1"/>
  <c r="J135" i="11"/>
  <c r="J212" i="11" s="1"/>
  <c r="I135" i="11"/>
  <c r="I212" i="11" s="1"/>
  <c r="L135" i="11"/>
  <c r="L212" i="11" s="1"/>
  <c r="H135" i="11"/>
  <c r="H212" i="11" s="1"/>
  <c r="AF135" i="11"/>
  <c r="AF212" i="11" s="1"/>
  <c r="AA135" i="11"/>
  <c r="AA212" i="11" s="1"/>
  <c r="AG135" i="11"/>
  <c r="AG212" i="11" s="1"/>
  <c r="AB135" i="11"/>
  <c r="AB212" i="11" s="1"/>
  <c r="W135" i="11"/>
  <c r="W212" i="11" s="1"/>
  <c r="V135" i="11"/>
  <c r="V212" i="11" s="1"/>
  <c r="R135" i="11"/>
  <c r="R212" i="11" s="1"/>
  <c r="O135" i="11"/>
  <c r="O212" i="11" s="1"/>
  <c r="N135" i="11"/>
  <c r="N212" i="11" s="1"/>
  <c r="E135" i="11"/>
  <c r="E212" i="11" s="1"/>
  <c r="C212" i="11"/>
  <c r="C156" i="11"/>
  <c r="C137" i="11"/>
  <c r="C138" i="11"/>
  <c r="AN153" i="11"/>
  <c r="J153" i="11"/>
  <c r="J227" i="11" s="1"/>
  <c r="Y153" i="11"/>
  <c r="Y227" i="11" s="1"/>
  <c r="AP153" i="11"/>
  <c r="AP227" i="11" s="1"/>
  <c r="H153" i="11"/>
  <c r="H227" i="11" s="1"/>
  <c r="I153" i="11"/>
  <c r="AM153" i="11"/>
  <c r="AM227" i="11" s="1"/>
  <c r="AE153" i="11"/>
  <c r="AE227" i="11" s="1"/>
  <c r="N153" i="11"/>
  <c r="AQ153" i="11"/>
  <c r="Z153" i="11"/>
  <c r="Z227" i="11" s="1"/>
  <c r="AC153" i="11"/>
  <c r="AC227" i="11" s="1"/>
  <c r="Q153" i="11"/>
  <c r="AK153" i="11"/>
  <c r="AB153" i="11"/>
  <c r="T153" i="11"/>
  <c r="T227" i="11" s="1"/>
  <c r="V153" i="11"/>
  <c r="AA153" i="11"/>
  <c r="P153" i="11"/>
  <c r="P227" i="11" s="1"/>
  <c r="AO153" i="11"/>
  <c r="G153" i="11"/>
  <c r="G227" i="11" s="1"/>
  <c r="D153" i="11"/>
  <c r="W153" i="11"/>
  <c r="W227" i="11" s="1"/>
  <c r="AH153" i="11"/>
  <c r="AH227" i="11" s="1"/>
  <c r="X153" i="11"/>
  <c r="X227" i="11" s="1"/>
  <c r="AF153" i="11"/>
  <c r="K153" i="11"/>
  <c r="K227" i="11" s="1"/>
  <c r="R153" i="11"/>
  <c r="R227" i="11" s="1"/>
  <c r="AG153" i="11"/>
  <c r="AG227" i="11" s="1"/>
  <c r="AD153" i="11"/>
  <c r="F153" i="11"/>
  <c r="O153" i="11"/>
  <c r="S153" i="11"/>
  <c r="S227" i="11" s="1"/>
  <c r="C227" i="11"/>
  <c r="AL153" i="11"/>
  <c r="E153" i="11"/>
  <c r="U153" i="11"/>
  <c r="U227" i="11" s="1"/>
  <c r="M153" i="11"/>
  <c r="M227" i="11" s="1"/>
  <c r="AJ153" i="11"/>
  <c r="AJ227" i="11" s="1"/>
  <c r="L153" i="11"/>
  <c r="L227" i="11" s="1"/>
  <c r="AI153" i="11"/>
  <c r="AI227" i="11" s="1"/>
  <c r="N136" i="11"/>
  <c r="N213" i="11" s="1"/>
  <c r="W136" i="11"/>
  <c r="W213" i="11" s="1"/>
  <c r="AL136" i="11"/>
  <c r="AL213" i="11" s="1"/>
  <c r="AJ136" i="11"/>
  <c r="AJ213" i="11" s="1"/>
  <c r="AA136" i="11"/>
  <c r="AA213" i="11" s="1"/>
  <c r="AH136" i="11"/>
  <c r="AH213" i="11" s="1"/>
  <c r="I136" i="11"/>
  <c r="I213" i="11" s="1"/>
  <c r="X136" i="11"/>
  <c r="X213" i="11" s="1"/>
  <c r="AC136" i="11"/>
  <c r="AC213" i="11" s="1"/>
  <c r="U136" i="11"/>
  <c r="U213" i="11" s="1"/>
  <c r="Z136" i="11"/>
  <c r="Z213" i="11" s="1"/>
  <c r="AE136" i="11"/>
  <c r="AE213" i="11" s="1"/>
  <c r="K136" i="11"/>
  <c r="K213" i="11" s="1"/>
  <c r="AB136" i="11"/>
  <c r="AB213" i="11" s="1"/>
  <c r="F136" i="11"/>
  <c r="F213" i="11" s="1"/>
  <c r="AK136" i="11"/>
  <c r="AK213" i="11" s="1"/>
  <c r="R136" i="11"/>
  <c r="R213" i="11" s="1"/>
  <c r="S136" i="11"/>
  <c r="S213" i="11" s="1"/>
  <c r="AM136" i="11"/>
  <c r="AM213" i="11" s="1"/>
  <c r="G136" i="11"/>
  <c r="G213" i="11" s="1"/>
  <c r="M136" i="11"/>
  <c r="M213" i="11" s="1"/>
  <c r="AG136" i="11"/>
  <c r="AG213" i="11" s="1"/>
  <c r="AQ136" i="11"/>
  <c r="AQ213" i="11" s="1"/>
  <c r="AI136" i="11"/>
  <c r="AI213" i="11" s="1"/>
  <c r="Y136" i="11"/>
  <c r="Y213" i="11" s="1"/>
  <c r="L136" i="11"/>
  <c r="L213" i="11" s="1"/>
  <c r="AP136" i="11"/>
  <c r="AP213" i="11" s="1"/>
  <c r="T136" i="11"/>
  <c r="T213" i="11" s="1"/>
  <c r="Q136" i="11"/>
  <c r="Q213" i="11" s="1"/>
  <c r="O136" i="11"/>
  <c r="O213" i="11" s="1"/>
  <c r="AO136" i="11"/>
  <c r="AO213" i="11" s="1"/>
  <c r="H136" i="11"/>
  <c r="H213" i="11" s="1"/>
  <c r="V136" i="11"/>
  <c r="V213" i="11" s="1"/>
  <c r="AN136" i="11"/>
  <c r="AN213" i="11" s="1"/>
  <c r="J136" i="11"/>
  <c r="J213" i="11" s="1"/>
  <c r="P136" i="11"/>
  <c r="P213" i="11" s="1"/>
  <c r="E136" i="11"/>
  <c r="E213" i="11" s="1"/>
  <c r="AD136" i="11"/>
  <c r="AD213" i="11" s="1"/>
  <c r="AF136" i="11"/>
  <c r="AF213" i="11" s="1"/>
  <c r="D136" i="11"/>
  <c r="D213" i="11" s="1"/>
  <c r="C213" i="11"/>
  <c r="D227" i="11" l="1"/>
  <c r="Z226" i="11"/>
  <c r="M226" i="11"/>
  <c r="AO227" i="11"/>
  <c r="AF227" i="11"/>
  <c r="AQ226" i="11"/>
  <c r="X226" i="11"/>
  <c r="I227" i="11"/>
  <c r="V227" i="11"/>
  <c r="N227" i="11"/>
  <c r="AN227" i="11"/>
  <c r="U226" i="11"/>
  <c r="AK227" i="11"/>
  <c r="Q227" i="11"/>
  <c r="E227" i="11"/>
  <c r="AL227" i="11"/>
  <c r="T226" i="11"/>
  <c r="AA227" i="11"/>
  <c r="AL226" i="11"/>
  <c r="AD227" i="11"/>
  <c r="N137" i="11"/>
  <c r="N214" i="11" s="1"/>
  <c r="U137" i="11"/>
  <c r="U214" i="11" s="1"/>
  <c r="AN137" i="11"/>
  <c r="AN214" i="11" s="1"/>
  <c r="AD137" i="11"/>
  <c r="AD214" i="11" s="1"/>
  <c r="O137" i="11"/>
  <c r="O214" i="11" s="1"/>
  <c r="AI137" i="11"/>
  <c r="AI214" i="11" s="1"/>
  <c r="D137" i="11"/>
  <c r="D214" i="11" s="1"/>
  <c r="AJ137" i="11"/>
  <c r="AJ214" i="11" s="1"/>
  <c r="AK137" i="11"/>
  <c r="AK214" i="11" s="1"/>
  <c r="AQ137" i="11"/>
  <c r="AQ214" i="11" s="1"/>
  <c r="AL137" i="11"/>
  <c r="AL214" i="11" s="1"/>
  <c r="R137" i="11"/>
  <c r="R214" i="11" s="1"/>
  <c r="G137" i="11"/>
  <c r="G214" i="11" s="1"/>
  <c r="J137" i="11"/>
  <c r="J214" i="11" s="1"/>
  <c r="Z137" i="11"/>
  <c r="Z214" i="11" s="1"/>
  <c r="X137" i="11"/>
  <c r="X214" i="11" s="1"/>
  <c r="AB137" i="11"/>
  <c r="AB214" i="11" s="1"/>
  <c r="AG137" i="11"/>
  <c r="AG214" i="11" s="1"/>
  <c r="AO137" i="11"/>
  <c r="AO214" i="11" s="1"/>
  <c r="I137" i="11"/>
  <c r="I214" i="11" s="1"/>
  <c r="H137" i="11"/>
  <c r="H214" i="11" s="1"/>
  <c r="E137" i="11"/>
  <c r="E214" i="11" s="1"/>
  <c r="AF137" i="11"/>
  <c r="AF214" i="11" s="1"/>
  <c r="AC137" i="11"/>
  <c r="AC214" i="11" s="1"/>
  <c r="K137" i="11"/>
  <c r="K214" i="11" s="1"/>
  <c r="M137" i="11"/>
  <c r="M214" i="11" s="1"/>
  <c r="AE137" i="11"/>
  <c r="AE214" i="11" s="1"/>
  <c r="AP137" i="11"/>
  <c r="AP214" i="11" s="1"/>
  <c r="Y137" i="11"/>
  <c r="Y214" i="11" s="1"/>
  <c r="L137" i="11"/>
  <c r="L214" i="11" s="1"/>
  <c r="AM137" i="11"/>
  <c r="AM214" i="11" s="1"/>
  <c r="AH137" i="11"/>
  <c r="AH214" i="11" s="1"/>
  <c r="T137" i="11"/>
  <c r="T214" i="11" s="1"/>
  <c r="AA137" i="11"/>
  <c r="AA214" i="11" s="1"/>
  <c r="W137" i="11"/>
  <c r="W214" i="11" s="1"/>
  <c r="S137" i="11"/>
  <c r="S214" i="11" s="1"/>
  <c r="F137" i="11"/>
  <c r="F214" i="11" s="1"/>
  <c r="P137" i="11"/>
  <c r="P214" i="11" s="1"/>
  <c r="Q137" i="11"/>
  <c r="Q214" i="11" s="1"/>
  <c r="V137" i="11"/>
  <c r="V214" i="11" s="1"/>
  <c r="C214" i="11"/>
  <c r="E228" i="11"/>
  <c r="AI228" i="11"/>
  <c r="AF228" i="11"/>
  <c r="AL228" i="11"/>
  <c r="AN228" i="11"/>
  <c r="T228" i="11"/>
  <c r="X228" i="11"/>
  <c r="AH228" i="11"/>
  <c r="J228" i="11"/>
  <c r="M228" i="11"/>
  <c r="U228" i="11"/>
  <c r="AM228" i="11"/>
  <c r="AK228" i="11"/>
  <c r="AO228" i="11"/>
  <c r="S228" i="11"/>
  <c r="O228" i="11"/>
  <c r="P228" i="11"/>
  <c r="AA228" i="11"/>
  <c r="W228" i="11"/>
  <c r="AQ228" i="11"/>
  <c r="AQ227" i="11"/>
  <c r="R226" i="11"/>
  <c r="AK226" i="11"/>
  <c r="AD228" i="11"/>
  <c r="AG228" i="11"/>
  <c r="F228" i="11"/>
  <c r="AE228" i="11"/>
  <c r="Q228" i="11"/>
  <c r="D156" i="11"/>
  <c r="AP156" i="11"/>
  <c r="AF156" i="11"/>
  <c r="F156" i="11"/>
  <c r="Q156" i="11"/>
  <c r="Y156" i="11"/>
  <c r="J156" i="11"/>
  <c r="L156" i="11"/>
  <c r="N156" i="11"/>
  <c r="AO156" i="11"/>
  <c r="AA156" i="11"/>
  <c r="M156" i="11"/>
  <c r="AG156" i="11"/>
  <c r="G156" i="11"/>
  <c r="AJ156" i="11"/>
  <c r="H156" i="11"/>
  <c r="W156" i="11"/>
  <c r="I156" i="11"/>
  <c r="K156" i="11"/>
  <c r="X156" i="11"/>
  <c r="AQ156" i="11"/>
  <c r="C230" i="11"/>
  <c r="U156" i="11"/>
  <c r="S156" i="11"/>
  <c r="P156" i="11"/>
  <c r="AE156" i="11"/>
  <c r="AC156" i="11"/>
  <c r="AI156" i="11"/>
  <c r="R156" i="11"/>
  <c r="AK156" i="11"/>
  <c r="O156" i="11"/>
  <c r="AB156" i="11"/>
  <c r="AH156" i="11"/>
  <c r="AN156" i="11"/>
  <c r="Z156" i="11"/>
  <c r="V156" i="11"/>
  <c r="AM156" i="11"/>
  <c r="AL156" i="11"/>
  <c r="AD156" i="11"/>
  <c r="T156" i="11"/>
  <c r="E156" i="11"/>
  <c r="H228" i="11"/>
  <c r="G228" i="11"/>
  <c r="AC228" i="11"/>
  <c r="Z228" i="11"/>
  <c r="K228" i="11"/>
  <c r="AD155" i="11"/>
  <c r="AD229" i="11" s="1"/>
  <c r="R155" i="11"/>
  <c r="R229" i="11" s="1"/>
  <c r="AE155" i="11"/>
  <c r="M155" i="11"/>
  <c r="M229" i="11" s="1"/>
  <c r="I155" i="11"/>
  <c r="I229" i="11" s="1"/>
  <c r="G155" i="11"/>
  <c r="G229" i="11" s="1"/>
  <c r="E155" i="11"/>
  <c r="AP155" i="11"/>
  <c r="AP229" i="11" s="1"/>
  <c r="AM155" i="11"/>
  <c r="AM229" i="11" s="1"/>
  <c r="Y155" i="11"/>
  <c r="AA155" i="11"/>
  <c r="AA229" i="11" s="1"/>
  <c r="F155" i="11"/>
  <c r="D155" i="11"/>
  <c r="H155" i="11"/>
  <c r="H229" i="11" s="1"/>
  <c r="P155" i="11"/>
  <c r="AI155" i="11"/>
  <c r="AI229" i="11" s="1"/>
  <c r="AH155" i="11"/>
  <c r="AH229" i="11" s="1"/>
  <c r="AB155" i="11"/>
  <c r="AB229" i="11" s="1"/>
  <c r="Q155" i="11"/>
  <c r="AO155" i="11"/>
  <c r="AJ155" i="11"/>
  <c r="AJ229" i="11" s="1"/>
  <c r="AQ155" i="11"/>
  <c r="W155" i="11"/>
  <c r="AG155" i="11"/>
  <c r="AG229" i="11" s="1"/>
  <c r="N155" i="11"/>
  <c r="N229" i="11" s="1"/>
  <c r="AC155" i="11"/>
  <c r="AC229" i="11" s="1"/>
  <c r="L155" i="11"/>
  <c r="L229" i="11" s="1"/>
  <c r="Z155" i="11"/>
  <c r="C229" i="11"/>
  <c r="S155" i="11"/>
  <c r="S229" i="11" s="1"/>
  <c r="AF155" i="11"/>
  <c r="V155" i="11"/>
  <c r="V229" i="11" s="1"/>
  <c r="U155" i="11"/>
  <c r="U229" i="11" s="1"/>
  <c r="O155" i="11"/>
  <c r="O229" i="11" s="1"/>
  <c r="K155" i="11"/>
  <c r="K229" i="11" s="1"/>
  <c r="AN155" i="11"/>
  <c r="T155" i="11"/>
  <c r="T229" i="11" s="1"/>
  <c r="J155" i="11"/>
  <c r="X155" i="11"/>
  <c r="X229" i="11" s="1"/>
  <c r="AL155" i="11"/>
  <c r="AK155" i="11"/>
  <c r="AK229" i="11" s="1"/>
  <c r="O227" i="11"/>
  <c r="AJ228" i="11"/>
  <c r="I228" i="11"/>
  <c r="N228" i="11"/>
  <c r="AP228" i="11"/>
  <c r="V228" i="11"/>
  <c r="F227" i="11"/>
  <c r="AB227" i="11"/>
  <c r="AO138" i="11"/>
  <c r="AO215" i="11" s="1"/>
  <c r="Z138" i="11"/>
  <c r="Z215" i="11" s="1"/>
  <c r="G138" i="11"/>
  <c r="G215" i="11" s="1"/>
  <c r="W138" i="11"/>
  <c r="W215" i="11" s="1"/>
  <c r="P138" i="11"/>
  <c r="P215" i="11" s="1"/>
  <c r="F138" i="11"/>
  <c r="F215" i="11" s="1"/>
  <c r="H138" i="11"/>
  <c r="H215" i="11" s="1"/>
  <c r="AA138" i="11"/>
  <c r="AA215" i="11" s="1"/>
  <c r="D138" i="11"/>
  <c r="D215" i="11" s="1"/>
  <c r="AG138" i="11"/>
  <c r="AG215" i="11" s="1"/>
  <c r="N138" i="11"/>
  <c r="N215" i="11" s="1"/>
  <c r="AK138" i="11"/>
  <c r="AK215" i="11" s="1"/>
  <c r="V138" i="11"/>
  <c r="V215" i="11" s="1"/>
  <c r="AB138" i="11"/>
  <c r="AB215" i="11" s="1"/>
  <c r="AJ138" i="11"/>
  <c r="AJ215" i="11" s="1"/>
  <c r="AN138" i="11"/>
  <c r="AN215" i="11" s="1"/>
  <c r="S138" i="11"/>
  <c r="S215" i="11" s="1"/>
  <c r="I138" i="11"/>
  <c r="I215" i="11" s="1"/>
  <c r="AL138" i="11"/>
  <c r="AL215" i="11" s="1"/>
  <c r="X138" i="11"/>
  <c r="X215" i="11" s="1"/>
  <c r="K138" i="11"/>
  <c r="K215" i="11" s="1"/>
  <c r="O138" i="11"/>
  <c r="O215" i="11" s="1"/>
  <c r="E138" i="11"/>
  <c r="E215" i="11" s="1"/>
  <c r="J138" i="11"/>
  <c r="J215" i="11" s="1"/>
  <c r="AD138" i="11"/>
  <c r="AD215" i="11" s="1"/>
  <c r="AE138" i="11"/>
  <c r="AE215" i="11" s="1"/>
  <c r="Y138" i="11"/>
  <c r="Y215" i="11" s="1"/>
  <c r="AQ138" i="11"/>
  <c r="AQ215" i="11" s="1"/>
  <c r="AC138" i="11"/>
  <c r="AC215" i="11" s="1"/>
  <c r="T138" i="11"/>
  <c r="T215" i="11" s="1"/>
  <c r="AM138" i="11"/>
  <c r="AM215" i="11" s="1"/>
  <c r="AP138" i="11"/>
  <c r="AP215" i="11" s="1"/>
  <c r="R138" i="11"/>
  <c r="R215" i="11" s="1"/>
  <c r="AF138" i="11"/>
  <c r="AF215" i="11" s="1"/>
  <c r="AI138" i="11"/>
  <c r="AI215" i="11" s="1"/>
  <c r="Q138" i="11"/>
  <c r="Q215" i="11" s="1"/>
  <c r="M138" i="11"/>
  <c r="M215" i="11" s="1"/>
  <c r="U138" i="11"/>
  <c r="U215" i="11" s="1"/>
  <c r="L138" i="11"/>
  <c r="L215" i="11" s="1"/>
  <c r="AH138" i="11"/>
  <c r="AH215" i="11" s="1"/>
  <c r="C215" i="11"/>
  <c r="D228" i="11"/>
  <c r="Y228" i="11"/>
  <c r="L228" i="11"/>
  <c r="R228" i="11"/>
  <c r="AB228" i="11"/>
  <c r="AN229" i="11" l="1"/>
  <c r="AO229" i="11"/>
  <c r="AE229" i="11"/>
  <c r="AL229" i="11"/>
  <c r="W229" i="11"/>
  <c r="P229" i="11"/>
  <c r="E229" i="11"/>
  <c r="J229" i="11"/>
  <c r="AQ229" i="11"/>
  <c r="AK230" i="11"/>
  <c r="AF229" i="11"/>
  <c r="D229" i="11"/>
  <c r="Z229" i="11"/>
  <c r="F229" i="11"/>
  <c r="Q229" i="11"/>
  <c r="P230" i="11"/>
  <c r="W230" i="11"/>
  <c r="D230" i="11"/>
  <c r="Y229" i="11"/>
  <c r="AD230" i="11"/>
  <c r="O230" i="11"/>
  <c r="U230" i="11"/>
  <c r="AJ230" i="11"/>
  <c r="J230" i="11"/>
  <c r="AL230" i="11"/>
  <c r="G230" i="11"/>
  <c r="Y230" i="11"/>
  <c r="AM230" i="11"/>
  <c r="R230" i="11"/>
  <c r="AQ230" i="11"/>
  <c r="AG230" i="11"/>
  <c r="Q230" i="11"/>
  <c r="V230" i="11"/>
  <c r="AI230" i="11"/>
  <c r="X230" i="11"/>
  <c r="M230" i="11"/>
  <c r="F230" i="11"/>
  <c r="Z230" i="11"/>
  <c r="AC230" i="11"/>
  <c r="K230" i="11"/>
  <c r="AA230" i="11"/>
  <c r="AF230" i="11"/>
  <c r="AN230" i="11"/>
  <c r="AE230" i="11"/>
  <c r="I230" i="11"/>
  <c r="AO230" i="11"/>
  <c r="AP230" i="11"/>
  <c r="E230" i="11"/>
  <c r="N230" i="11"/>
  <c r="AH230" i="11"/>
  <c r="T230" i="11"/>
  <c r="AB230" i="11"/>
  <c r="S230" i="11"/>
  <c r="H230" i="11"/>
  <c r="L230" i="11"/>
  <c r="J90" i="9"/>
  <c r="J91" i="9" s="1"/>
</calcChain>
</file>

<file path=xl/sharedStrings.xml><?xml version="1.0" encoding="utf-8"?>
<sst xmlns="http://schemas.openxmlformats.org/spreadsheetml/2006/main" count="1219" uniqueCount="229">
  <si>
    <t>TEUR</t>
  </si>
  <si>
    <t>Informacija taikoma tik 2023-2025 m. tarifų laikotarpiams.</t>
  </si>
  <si>
    <t>%</t>
  </si>
  <si>
    <t>Pajamų lygis priskirtas  gamtinių dujų perdavimo paslaugai pagal pajėgumais grindžiamus tarifus</t>
  </si>
  <si>
    <t>Eur/MWh/d/y</t>
  </si>
  <si>
    <t>-</t>
  </si>
  <si>
    <t>EUR/MWh</t>
  </si>
  <si>
    <t>Kainos už vartojimo pajėgumus Vidiniame išleidimo taške:</t>
  </si>
  <si>
    <t>Eur/MWh</t>
  </si>
  <si>
    <t>I K</t>
  </si>
  <si>
    <t>II K</t>
  </si>
  <si>
    <t>III K</t>
  </si>
  <si>
    <t>IV K</t>
  </si>
  <si>
    <t>Tariff year</t>
  </si>
  <si>
    <t>M</t>
  </si>
  <si>
    <t>Vidurkis</t>
  </si>
  <si>
    <t>Total</t>
  </si>
  <si>
    <t>Gas months</t>
  </si>
  <si>
    <t xml:space="preserve">Reference prices (for firm yearly capacity products), flow-based tariffs and tariffs for consumption capacity </t>
  </si>
  <si>
    <t>Calculates</t>
  </si>
  <si>
    <t>Tariff/0,025</t>
  </si>
  <si>
    <t>Rounding</t>
  </si>
  <si>
    <t>Check Tariff/0,025</t>
  </si>
  <si>
    <t>Kiemėnai Entry D/WD Tariff rounding for EEX</t>
  </si>
  <si>
    <t>Kiemėnai Exit D/WD Tariff rounding for EEX</t>
  </si>
  <si>
    <t>Day-ahead, Eur/MWh/d</t>
  </si>
  <si>
    <t>Within-day, Eur/MWh/d</t>
  </si>
  <si>
    <t>Commodty tariff</t>
  </si>
  <si>
    <t>Check</t>
  </si>
  <si>
    <t>Sezoninių koeficientų (SK) skaičiavimas (LT) Vidiniame išleidimo taške (-uose) ir (LT&gt;RU) Šakių išleidimo taške likusiam Reguliavimo periodui (2026-2028)</t>
  </si>
  <si>
    <t>Kaip reikalaujama pagal TAR NC 15 straipsnį</t>
  </si>
  <si>
    <t>Turi būti pildomi tik mėlyni laukeliai</t>
  </si>
  <si>
    <t>Spalis, 2025</t>
  </si>
  <si>
    <r>
      <t xml:space="preserve">1 žingsnis:
Straipsnis 15(3)(a), (b): </t>
    </r>
    <r>
      <rPr>
        <i/>
        <sz val="10"/>
        <color theme="1"/>
        <rFont val="Calibri"/>
        <family val="2"/>
        <charset val="186"/>
        <scheme val="minor"/>
      </rPr>
      <t>"a) perdavimo sistemos naudojimas kiekvieną gamtinių dujų tiekimo metų mėnesį turi būti apskaičiuojamas pagal prognozuojamus srautus arba prognozuojamą užsakytą pajėgumą&lt;...&gt;", "b) a punkte nurodytos gautos vertės turi būti sudedamos;"</t>
    </r>
  </si>
  <si>
    <t>Prognozuojami srautai kiekvieną dujų mėnesį</t>
  </si>
  <si>
    <t>Sau</t>
  </si>
  <si>
    <t>Vas</t>
  </si>
  <si>
    <t>Kov</t>
  </si>
  <si>
    <t>Bal</t>
  </si>
  <si>
    <t>Geg</t>
  </si>
  <si>
    <t>Bir</t>
  </si>
  <si>
    <t>Lie</t>
  </si>
  <si>
    <t>Rgp</t>
  </si>
  <si>
    <t>Rgs</t>
  </si>
  <si>
    <t>Spl</t>
  </si>
  <si>
    <t>Lap</t>
  </si>
  <si>
    <t>Grd</t>
  </si>
  <si>
    <t>Iš viso</t>
  </si>
  <si>
    <t>Vidutiis (2023-2019) dujų srautas Vidiniame išleidimo taške (-uose) ir Šakių išleidimo taške m., MWh:</t>
  </si>
  <si>
    <r>
      <t xml:space="preserve">2 žingsnis: 
Straipsnis 15(3)(c): </t>
    </r>
    <r>
      <rPr>
        <i/>
        <sz val="10"/>
        <color theme="1"/>
        <rFont val="Calibri"/>
        <family val="2"/>
        <charset val="186"/>
        <scheme val="minor"/>
      </rPr>
      <t>"c) naudojimo rodiklis turi būti apskaičiuojamas kiekvieną a punkte nurodytą vertę padalijant iš b punkte nurodytos gautos vertės;"</t>
    </r>
  </si>
  <si>
    <t>Dujų mėnesiai</t>
  </si>
  <si>
    <t>Naudojimo rodiklis:</t>
  </si>
  <si>
    <r>
      <t xml:space="preserve">3 žingsnis: 
Straipsnis 15(3)(d): </t>
    </r>
    <r>
      <rPr>
        <i/>
        <sz val="10"/>
        <color theme="1"/>
        <rFont val="Calibri"/>
        <family val="2"/>
        <charset val="186"/>
        <scheme val="minor"/>
      </rPr>
      <t>"d) kiekviena c punkte nurodyta gauta vertė turi būti padauginama iš 12. Jei gautos vertės yra lygios 0, tos vertės turi būti koreguojamos iki mažesniosios iš šių verčių: 0,1 arba kitos nei 0 mažiausios gautos vertės;"</t>
    </r>
  </si>
  <si>
    <t>Naudojimo rodiklis x 12:</t>
  </si>
  <si>
    <r>
      <t xml:space="preserve">4 žingsnis: 
Straipsnis 15(3)(e): </t>
    </r>
    <r>
      <rPr>
        <i/>
        <sz val="10"/>
        <color theme="1"/>
        <rFont val="Calibri"/>
        <family val="2"/>
        <charset val="186"/>
        <scheme val="minor"/>
      </rPr>
      <t>"e) pradinis atitinkamų sezoninių koeficientų dydis turi būti apskaičiuojamas kiekvieną d punkte nurodytą vertę pakeliant tuo pačiu laipsniu, kuris ne mažesnis už 0 ir ne didesnis už 2;"</t>
    </r>
  </si>
  <si>
    <t>Naudojimo rodiklis x 12 ^ laipsniu (pradinis SK):</t>
  </si>
  <si>
    <t>Laipsnis (0-2)</t>
  </si>
  <si>
    <r>
      <t xml:space="preserve">5 žingsnis: 
Straipsnis 15(3)(f): </t>
    </r>
    <r>
      <rPr>
        <i/>
        <sz val="10"/>
        <color theme="1"/>
        <rFont val="Calibri"/>
        <family val="2"/>
        <charset val="186"/>
        <scheme val="minor"/>
      </rPr>
      <t xml:space="preserve">"f) turi būti apskaičiuojamas e punkte nurodytų gautų verčių ir mėnesio tipinių pajėgumo produktų daugiklio sandaugų aritmetinis vidurkis;"
</t>
    </r>
    <r>
      <rPr>
        <b/>
        <sz val="10"/>
        <color theme="1"/>
        <rFont val="Calibri"/>
        <family val="2"/>
        <charset val="186"/>
        <scheme val="minor"/>
      </rPr>
      <t>Straipsnis 15(4):</t>
    </r>
    <r>
      <rPr>
        <i/>
        <sz val="10"/>
        <color theme="1"/>
        <rFont val="Calibri"/>
        <family val="2"/>
        <charset val="186"/>
        <scheme val="minor"/>
      </rPr>
      <t xml:space="preserve"> "Paros tipinių nuolatinio pajėgumo produktų ir einamosios paros tipinių nuolatinio pajėgumo produktų sezoniniai koeficientai turi būti apskaičiuojami 3 dalies f–h punktuose nustatyta seka, mutatis mutandis."</t>
    </r>
  </si>
  <si>
    <t>Pradinis SK x Mėnesio daugiklis:</t>
  </si>
  <si>
    <t>Pradinis SK x Paros/einamosios paros daugiklis:</t>
  </si>
  <si>
    <t>Mėnesio daugiklis</t>
  </si>
  <si>
    <t>Paros/einamosios paros daugiklis</t>
  </si>
  <si>
    <r>
      <t xml:space="preserve">6 žingsnis: 
Straipsnis 15(3)(g): </t>
    </r>
    <r>
      <rPr>
        <i/>
        <sz val="10"/>
        <color theme="1"/>
        <rFont val="Calibri"/>
        <family val="2"/>
        <charset val="186"/>
        <scheme val="minor"/>
      </rPr>
      <t xml:space="preserve">"g) f punkte nurodyta gauta vertė turi būti palyginama su 13 straipsnio 1 dalyje nurodytu intervalu taip: 
              (i) jei ši vertė patenka į intervalą, sezoninių koeficientų dydis turi būti lygus atitinkamoms e punkte nurodytoms gautoms vertėms;
              (ii) jei ši vertė į intervalą nepatenka, taikomas h punktas;"
</t>
    </r>
    <r>
      <rPr>
        <b/>
        <sz val="10"/>
        <color theme="1"/>
        <rFont val="Calibri"/>
        <family val="2"/>
        <charset val="186"/>
        <scheme val="minor"/>
      </rPr>
      <t xml:space="preserve">Straipsnis 13(1): </t>
    </r>
    <r>
      <rPr>
        <sz val="10"/>
        <color theme="1"/>
        <rFont val="Calibri"/>
        <family val="2"/>
        <charset val="186"/>
        <scheme val="minor"/>
      </rPr>
      <t>"</t>
    </r>
    <r>
      <rPr>
        <i/>
        <sz val="10"/>
        <color theme="1"/>
        <rFont val="Calibri"/>
        <family val="2"/>
        <charset val="186"/>
        <scheme val="minor"/>
      </rPr>
      <t xml:space="preserve">13&lt;..&gt;1. Daugiklių dydžio intervalai šie: 
              (a) ketvirčio tipinių pajėgumo produktų ir mėnesio tipinių pajėgumo produktų atitinkamas daugiklis turi būti ne mažesnis kaip 1 ir ne didesnis kaip 1,5; 
              (b) paros tipinių pajėgumo produktų ir einamosios paros tipinių pajėgumo produktų atitinkamas daugiklis turi būti ne mažesnis kaip 1 ir ne didesnis kaip 3. Tinkamai pagrįstais atvejais nurodyti daugikliai gali būti mažesni kaip 1, bet didesni kaip 0, arba didesni kaip 3.
</t>
    </r>
    <r>
      <rPr>
        <b/>
        <sz val="10"/>
        <color theme="1"/>
        <rFont val="Calibri"/>
        <family val="2"/>
        <charset val="186"/>
        <scheme val="minor"/>
      </rPr>
      <t>Straipsnis 15(3)(h):</t>
    </r>
    <r>
      <rPr>
        <i/>
        <sz val="10"/>
        <color theme="1"/>
        <rFont val="Calibri"/>
        <family val="2"/>
        <charset val="186"/>
        <scheme val="minor"/>
      </rPr>
      <t xml:space="preserve"> "h) sezoninių koeficientų dydis turi būti apskaičiuojamas kaip atitinkamų e punkte nurodytų gautų verčių ir pataisos koeficiento sandauga, laikantis šių sąlygų:
               i) jei f punkte nurodyta gauta vertė yra didesnė kaip 1,5, pataisos koeficientas turi būti apskaičiuojamas 1,5 padalijant iš šios vertės; 
               ii) jei f punkte nurodyta gauta vertė yra mažesnė kaip 1, pataisos koeficientas turi būti apskaičiuojamas 1 padalijant iš šios vertės."</t>
    </r>
  </si>
  <si>
    <t>Mėnesio SK (pradinis SK x pataisos koeficientas):</t>
  </si>
  <si>
    <t>Paros/einam. paros SK (pradinis SF x pataisos koef.):</t>
  </si>
  <si>
    <t>Pataisos koeficientas: Mėnesio</t>
  </si>
  <si>
    <t>Pataisos koeficientas: Paros/einamosios paros</t>
  </si>
  <si>
    <r>
      <t xml:space="preserve">7 žingsnis: 
Straipsnis 15(5): </t>
    </r>
    <r>
      <rPr>
        <i/>
        <sz val="10"/>
        <color theme="1"/>
        <rFont val="Calibri"/>
        <family val="2"/>
        <charset val="186"/>
        <scheme val="minor"/>
      </rPr>
      <t xml:space="preserve">"Ketvirčio tipinių nuolatinio pajėgumo produktų sezoniniai koeficientai turi būti apskaičiuojami šia seka:
              (a) pradinis atitinkamų sezoninių koeficientų dydis turi būti apskaičiuojamas pagal vieną iš šių sąlygų: 
                      (i) koeficientas yra lygus atitinkamų sezoninių koeficientų, taikomų tris susijusius mėnesius, paprastam aritmetiniam vidurkiui; 
                      (ii) koeficientas yra ne mažesnis už mažiausiąjį ir ne didesnis už didžiausiąjį iš atitinkamų sezoninių koeficientų, taikomų tris susijusius mėnesius;
              (b) 3 dalies f–h punktuose nustatyti žingsniai turi būti atlikti naudojant a punkte nurodytas gautas vertes, mutatis mutandis.“
</t>
    </r>
    <r>
      <rPr>
        <b/>
        <sz val="10"/>
        <color theme="1"/>
        <rFont val="Calibri"/>
        <family val="2"/>
        <charset val="186"/>
        <scheme val="minor"/>
      </rPr>
      <t/>
    </r>
  </si>
  <si>
    <t>Ketvirčio SK:</t>
  </si>
  <si>
    <r>
      <t xml:space="preserve">8 žingsnis: 
Straipsnis 15(6): </t>
    </r>
    <r>
      <rPr>
        <i/>
        <sz val="10"/>
        <color theme="1"/>
        <rFont val="Calibri"/>
        <family val="2"/>
        <charset val="186"/>
        <scheme val="minor"/>
      </rPr>
      <t xml:space="preserve">"Ne metų tipinių nuolatinio pajėgumo produktų atveju 3–5 dalyse nurodytu skaičiavimu gautos vertės gali būti apvalinamos (didinamos arba mažinamos)."     
</t>
    </r>
    <r>
      <rPr>
        <b/>
        <sz val="10"/>
        <color theme="1"/>
        <rFont val="Calibri"/>
        <family val="2"/>
        <charset val="186"/>
        <scheme val="minor"/>
      </rPr>
      <t/>
    </r>
  </si>
  <si>
    <r>
      <rPr>
        <b/>
        <sz val="10"/>
        <color theme="1"/>
        <rFont val="Calibri"/>
        <family val="2"/>
        <charset val="186"/>
        <scheme val="minor"/>
      </rPr>
      <t xml:space="preserve">Mėnesio SK </t>
    </r>
    <r>
      <rPr>
        <sz val="10"/>
        <color theme="1"/>
        <rFont val="Calibri"/>
        <family val="2"/>
        <charset val="186"/>
        <scheme val="minor"/>
      </rPr>
      <t>(galutiniai - taikytini kainoms):</t>
    </r>
  </si>
  <si>
    <r>
      <rPr>
        <b/>
        <sz val="10"/>
        <color theme="1"/>
        <rFont val="Calibri"/>
        <family val="2"/>
        <charset val="186"/>
        <scheme val="minor"/>
      </rPr>
      <t xml:space="preserve">Paros/einam. paros SK </t>
    </r>
    <r>
      <rPr>
        <sz val="10"/>
        <color theme="1"/>
        <rFont val="Calibri"/>
        <family val="2"/>
        <charset val="186"/>
        <scheme val="minor"/>
      </rPr>
      <t>(galutiniai - taikytini kainoms):</t>
    </r>
  </si>
  <si>
    <r>
      <rPr>
        <b/>
        <sz val="10"/>
        <color theme="1"/>
        <rFont val="Calibri"/>
        <family val="2"/>
        <charset val="186"/>
        <scheme val="minor"/>
      </rPr>
      <t xml:space="preserve">Ketvirčio SK </t>
    </r>
    <r>
      <rPr>
        <sz val="10"/>
        <color theme="1"/>
        <rFont val="Calibri"/>
        <family val="2"/>
        <charset val="186"/>
        <scheme val="minor"/>
      </rPr>
      <t>(galutiniai - taikytini kainoms):</t>
    </r>
  </si>
  <si>
    <t>Dujų ketvirčiai</t>
  </si>
  <si>
    <t>Perdavimo paslaugų trumpalaikių nuolatinių pajėgumų produktų kainos 2026 - 2028 m.</t>
  </si>
  <si>
    <t>DAUGIKLIAI, SEZONINIAI KOEFICIENTAI, DIENŲ SKAIČIUS PAGAL PERIODUS:</t>
  </si>
  <si>
    <t>Kalendorinių dienų bei valandų skaičius metuose/ketvirčiuose/mėnesiuose:</t>
  </si>
  <si>
    <t>Tarifiniai metai</t>
  </si>
  <si>
    <t>Dienų skaičius metuose</t>
  </si>
  <si>
    <t>Dienų skaičius ketvirtyje (K)</t>
  </si>
  <si>
    <t>Dienų skaičius mėnesyje (M)</t>
  </si>
  <si>
    <t>Valandų skaičius metuose</t>
  </si>
  <si>
    <r>
      <t>Daugikliai (DG)</t>
    </r>
    <r>
      <rPr>
        <i/>
        <sz val="10"/>
        <color theme="1"/>
        <rFont val="Calibri"/>
        <family val="2"/>
        <charset val="186"/>
        <scheme val="minor"/>
      </rPr>
      <t xml:space="preserve"> (ketvirčio (K), mėnesio (M), paros/einamosios paros (P/EP) pajėgumų produktams)</t>
    </r>
    <r>
      <rPr>
        <b/>
        <sz val="10"/>
        <color theme="1"/>
        <rFont val="Calibri"/>
        <family val="2"/>
        <charset val="186"/>
        <scheme val="minor"/>
      </rPr>
      <t>:</t>
    </r>
  </si>
  <si>
    <t>Visiems įleidimo taškams</t>
  </si>
  <si>
    <t>(LT&gt;LV) Kiemėnų išleidimo taškui
(LT&gt;PL) Santakos išleidimo taškui</t>
  </si>
  <si>
    <t>(LT) Vidiniam(s) ir Šakių išleidimo taškams</t>
  </si>
  <si>
    <t>K</t>
  </si>
  <si>
    <t>P</t>
  </si>
  <si>
    <t>EP</t>
  </si>
  <si>
    <t>P/EP</t>
  </si>
  <si>
    <t>Sezoniniai koeficientai (SK):</t>
  </si>
  <si>
    <t>SK (LT) Vidiniam išleidimo taškui:</t>
  </si>
  <si>
    <t>Ketvirčio produktams</t>
  </si>
  <si>
    <t>Mėnesio produktams</t>
  </si>
  <si>
    <t>Paros/einamosios paros produktams</t>
  </si>
  <si>
    <t>SK (LT&gt;RU) Šakių išleidimo taškui:</t>
  </si>
  <si>
    <t>NE METŲ TRUKMĖS (TRUMPALAIKIŲ) PAJĖGUMŲ PRODUKTŲ KAINOS, EUR/MWh/parą/periodą (ketvirtį/mėnesį/parą/einamąją parą):</t>
  </si>
  <si>
    <r>
      <rPr>
        <sz val="10"/>
        <color theme="1"/>
        <rFont val="Calibri"/>
        <family val="2"/>
        <charset val="186"/>
        <scheme val="minor"/>
      </rPr>
      <t xml:space="preserve">Kainos už </t>
    </r>
    <r>
      <rPr>
        <b/>
        <sz val="10"/>
        <color theme="1"/>
        <rFont val="Calibri"/>
        <family val="2"/>
        <charset val="186"/>
        <scheme val="minor"/>
      </rPr>
      <t>ketvirčio pajėgumus</t>
    </r>
  </si>
  <si>
    <r>
      <rPr>
        <sz val="10"/>
        <color theme="1"/>
        <rFont val="Calibri"/>
        <family val="2"/>
        <charset val="186"/>
        <scheme val="minor"/>
      </rPr>
      <t xml:space="preserve">Kainos už </t>
    </r>
    <r>
      <rPr>
        <b/>
        <sz val="10"/>
        <color theme="1"/>
        <rFont val="Calibri"/>
        <family val="2"/>
        <charset val="186"/>
        <scheme val="minor"/>
      </rPr>
      <t>mėnesio pajėgumus</t>
    </r>
  </si>
  <si>
    <r>
      <rPr>
        <sz val="10"/>
        <color theme="1"/>
        <rFont val="Calibri"/>
        <family val="2"/>
        <charset val="186"/>
        <scheme val="minor"/>
      </rPr>
      <t xml:space="preserve">Kainos už </t>
    </r>
    <r>
      <rPr>
        <b/>
        <sz val="10"/>
        <color theme="1"/>
        <rFont val="Calibri"/>
        <family val="2"/>
        <charset val="186"/>
        <scheme val="minor"/>
      </rPr>
      <t>paros pajėgumus</t>
    </r>
  </si>
  <si>
    <r>
      <rPr>
        <sz val="10"/>
        <color theme="1"/>
        <rFont val="Calibri"/>
        <family val="2"/>
        <charset val="186"/>
        <scheme val="minor"/>
      </rPr>
      <t xml:space="preserve">Kainos už </t>
    </r>
    <r>
      <rPr>
        <b/>
        <sz val="10"/>
        <color theme="1"/>
        <rFont val="Calibri"/>
        <family val="2"/>
        <charset val="186"/>
        <scheme val="minor"/>
      </rPr>
      <t>einamosios paros pajėgumus</t>
    </r>
  </si>
  <si>
    <t>(BY&gt;LT) Kotlovkos įleidimo taškas</t>
  </si>
  <si>
    <t>LT Vidaus įleidimo taškas</t>
  </si>
  <si>
    <t xml:space="preserve">(BY&gt;LT) Kotlovkos įleidimo taškas </t>
  </si>
  <si>
    <t>(LV&gt;LT) Kiemėnų įleidimo taškas</t>
  </si>
  <si>
    <t>(SGDT&gt;LT) Klaipėdos įleidimo taškas</t>
  </si>
  <si>
    <t>(PL&gt;LT) Santakos įleidimo taškas</t>
  </si>
  <si>
    <t>(LT&gt;LV) Kiemėnų išleidimo taškas</t>
  </si>
  <si>
    <t>(LT&gt;RU) Šakių išleidimo taškas</t>
  </si>
  <si>
    <t>(LT&gt;PL) Santakos išleidimo taškas</t>
  </si>
  <si>
    <t>(LT) Vidinis išleidimo taškas</t>
  </si>
  <si>
    <t>(LT) Vidinis išleidimo taškas - Achema</t>
  </si>
  <si>
    <t>Referen-cinės kainos</t>
  </si>
  <si>
    <t xml:space="preserve"> ne metų trukmės pajėgumų kainos, kaip % dalis nuo referencinės kainos:</t>
  </si>
  <si>
    <t>visiems įleidimo taškams</t>
  </si>
  <si>
    <t>(LT&gt;LV) Kiemėnų, (LT&gt;PL) Santakos išleidimo taškui</t>
  </si>
  <si>
    <t>(LT&gt;RU) Šakių išleidimo taškui</t>
  </si>
  <si>
    <t>(LT) Vidiniams išleidimo taškams</t>
  </si>
  <si>
    <t>Tarifiniai metai 2028 vs 2027</t>
  </si>
  <si>
    <t>Tarifiniai metai 2027 vs 2026</t>
  </si>
  <si>
    <t>Tarifiniai metai 2026 vs 2025</t>
  </si>
  <si>
    <t>Tarifiniai metai  2025 vs 2024</t>
  </si>
  <si>
    <t>Tarifiniai metai 2024 vs 2023</t>
  </si>
  <si>
    <t>Referencinės kainos</t>
  </si>
  <si>
    <t>(BY&gt;LT) Kotlovkos įleidimo taškas (apribotasis pajėgumų produktas)</t>
  </si>
  <si>
    <t>Tarifiniai metai 2023</t>
  </si>
  <si>
    <t>Tarifiniai metai 2024</t>
  </si>
  <si>
    <t>Tarifiniai metai 2025</t>
  </si>
  <si>
    <t>Tarifiniai metai 2026</t>
  </si>
  <si>
    <t>Tarifiniai metai 2028</t>
  </si>
  <si>
    <t>Tarifiniai metai  2027</t>
  </si>
  <si>
    <t xml:space="preserve">Pildoma </t>
  </si>
  <si>
    <t xml:space="preserve">Nepildoma </t>
  </si>
  <si>
    <r>
      <t xml:space="preserve">Turi būti pildomi </t>
    </r>
    <r>
      <rPr>
        <b/>
        <i/>
        <u/>
        <sz val="11"/>
        <color rgb="FFFF0000"/>
        <rFont val="Calibri"/>
        <family val="2"/>
        <charset val="186"/>
        <scheme val="minor"/>
      </rPr>
      <t>tik mėlyni laukeliai</t>
    </r>
    <r>
      <rPr>
        <b/>
        <i/>
        <sz val="11"/>
        <color theme="4" tint="-0.249977111117893"/>
        <rFont val="Calibri"/>
        <family val="2"/>
        <charset val="186"/>
        <scheme val="minor"/>
      </rPr>
      <t xml:space="preserve"> (pilki/žali laukeliai: skaičiavimai arba faktiniai įvesties ar išvesties duomenys; oranžiniai laukeliai: duomenys iš kito darbalaukio)</t>
    </r>
  </si>
  <si>
    <r>
      <t>Leidžiamosios pajamos (LP)</t>
    </r>
    <r>
      <rPr>
        <sz val="10"/>
        <color theme="1"/>
        <rFont val="Calibri"/>
        <family val="2"/>
        <charset val="186"/>
        <scheme val="minor"/>
      </rPr>
      <t>:</t>
    </r>
  </si>
  <si>
    <t xml:space="preserve">     iš jų LP, nevertinant Reguliavimo sąskaitos ir CBCA</t>
  </si>
  <si>
    <t xml:space="preserve">     iš jų - Reguliavimo sąskaita</t>
  </si>
  <si>
    <t xml:space="preserve">     iš jų - CBCA</t>
  </si>
  <si>
    <r>
      <t>SGDT nuolaidos perskirstymas už praėjusius laikotarpius ES išleidimo taškams</t>
    </r>
    <r>
      <rPr>
        <b/>
        <i/>
        <sz val="10"/>
        <color theme="1"/>
        <rFont val="Calibri"/>
        <family val="2"/>
        <charset val="186"/>
        <scheme val="minor"/>
      </rPr>
      <t xml:space="preserve"> </t>
    </r>
    <r>
      <rPr>
        <i/>
        <sz val="10"/>
        <color theme="1"/>
        <rFont val="Calibri"/>
        <family val="2"/>
        <charset val="186"/>
        <scheme val="minor"/>
      </rPr>
      <t>(priskiriam. Pagrindiniam tinklui)</t>
    </r>
  </si>
  <si>
    <t xml:space="preserve">     iš jų (LT&gt;LV) Kiemėnų</t>
  </si>
  <si>
    <t xml:space="preserve">     iš jų (LT&gt;LV) Santakos išleidimo taškui</t>
  </si>
  <si>
    <t xml:space="preserve">     iš jų (LT) vidiniams išleidimo taškams</t>
  </si>
  <si>
    <t>SGDT nuolaidos perskirstymas už 2020-2022 m. ES išleidimo taškams (priskiriam. Pagrindiniam tinklui)</t>
  </si>
  <si>
    <t>SGDT galutinis nuolaidos perskirstymas už 2020 m. ES išleidimo taškams (priskiriam. Pagrindiniam tinklui) 2023 m.</t>
  </si>
  <si>
    <t>SGDT galutinis nuolaidos perskirstymas už 2021 m. ES išleidimo taškams (priskiriam. Pagrindiniam tinklui) 2023 m.</t>
  </si>
  <si>
    <t>SGDT tarpinis nuolaidos perskirstymas už 2022 m. ES išleidimo taškams (priskiriam. Pagrindiniam tinklui) 2023 m.
SGDT galutinis nuolaidos perskirstymas už 2022 m. ES išleidimo taškams (priskiriam. Pagrindiniam tinklui) 2024 m.</t>
  </si>
  <si>
    <r>
      <t>LP priskyrimas paslaugoms iki Reguliavimo sąskaitos įvertinimo</t>
    </r>
    <r>
      <rPr>
        <sz val="10"/>
        <color theme="1"/>
        <rFont val="Calibri"/>
        <family val="2"/>
        <charset val="186"/>
        <scheme val="minor"/>
      </rPr>
      <t>:</t>
    </r>
  </si>
  <si>
    <r>
      <t xml:space="preserve">     iš jų priskirta </t>
    </r>
    <r>
      <rPr>
        <b/>
        <sz val="10"/>
        <color theme="1"/>
        <rFont val="Calibri"/>
        <family val="2"/>
        <charset val="186"/>
        <scheme val="minor"/>
      </rPr>
      <t xml:space="preserve">Pagrindiniam tinklui </t>
    </r>
    <r>
      <rPr>
        <i/>
        <sz val="10"/>
        <color theme="1"/>
        <rFont val="Calibri"/>
        <family val="2"/>
        <charset val="186"/>
        <scheme val="minor"/>
      </rPr>
      <t>(pradinis lygis perdavimo Pagrindiniu tinklu paslaugų referencinėms kainoms nustatyti (už nuolatinius metų pajėgumų produktus))</t>
    </r>
  </si>
  <si>
    <r>
      <t>iš jų priskirta transportavimo į trečiąją šalį paslaugai</t>
    </r>
    <r>
      <rPr>
        <i/>
        <vertAlign val="superscript"/>
        <sz val="10"/>
        <color theme="1"/>
        <rFont val="Calibri"/>
        <family val="2"/>
        <charset val="186"/>
        <scheme val="minor"/>
      </rPr>
      <t xml:space="preserve"> </t>
    </r>
  </si>
  <si>
    <r>
      <t xml:space="preserve">     iš jų priskirta </t>
    </r>
    <r>
      <rPr>
        <b/>
        <sz val="10"/>
        <color theme="1"/>
        <rFont val="Calibri"/>
        <family val="2"/>
        <charset val="186"/>
        <scheme val="minor"/>
      </rPr>
      <t>Lokaliam tinklui</t>
    </r>
  </si>
  <si>
    <t xml:space="preserve">   iš jų priskirta Vidaus išleidimo taškui - Achema</t>
  </si>
  <si>
    <t xml:space="preserve">   iš jų priskirta Vidaus išleidimo taškui</t>
  </si>
  <si>
    <r>
      <t xml:space="preserve">     pajamų </t>
    </r>
    <r>
      <rPr>
        <b/>
        <i/>
        <sz val="10"/>
        <color theme="1"/>
        <rFont val="Calibri"/>
        <family val="2"/>
        <charset val="186"/>
        <scheme val="minor"/>
      </rPr>
      <t>už vartojimo pajėgumus dalis Lokalaus tinklo paslaugų pajamose</t>
    </r>
  </si>
  <si>
    <t xml:space="preserve">iš jų vidaus išleidimo taško - Achema </t>
  </si>
  <si>
    <t>iš jų Vidaus išleidimo taškui</t>
  </si>
  <si>
    <r>
      <t xml:space="preserve">     pajamų </t>
    </r>
    <r>
      <rPr>
        <b/>
        <i/>
        <sz val="10"/>
        <color theme="1"/>
        <rFont val="Calibri"/>
        <family val="2"/>
        <charset val="186"/>
        <scheme val="minor"/>
      </rPr>
      <t>dalis už Lokalaus tinklo paslaugas priskirta už ilgalaikius pajėgus vidaus išleidimo taškuose</t>
    </r>
  </si>
  <si>
    <t>pajamų už vartojimo pajėgumus dalis Lokalaus tinklo paslaugų pajamose</t>
  </si>
  <si>
    <t>pajamų dalis už Lokalaus tinklo paslaugas priskirta už ilgalaikius pajėgus vidaus išleidimo taškuose</t>
  </si>
  <si>
    <r>
      <t>Reguliavimo sąskaitos priskyrimas Pagrindiniam ir Lokaliam tinklams</t>
    </r>
    <r>
      <rPr>
        <sz val="10"/>
        <color theme="1"/>
        <rFont val="Calibri"/>
        <family val="2"/>
        <charset val="186"/>
        <scheme val="minor"/>
      </rPr>
      <t>:</t>
    </r>
  </si>
  <si>
    <t xml:space="preserve">iš jų priskirta Pagrindiniam tinklui </t>
  </si>
  <si>
    <t xml:space="preserve">iš jų priskirta Lokaliam tinklui </t>
  </si>
  <si>
    <r>
      <t>LP priskyrimas paslaugoms po Reguliavimo sąskaitos įvertinimo</t>
    </r>
    <r>
      <rPr>
        <sz val="10"/>
        <color theme="1"/>
        <rFont val="Calibri"/>
        <family val="2"/>
        <charset val="186"/>
        <scheme val="minor"/>
      </rPr>
      <t>:</t>
    </r>
  </si>
  <si>
    <r>
      <t xml:space="preserve">     iš jų priskirta </t>
    </r>
    <r>
      <rPr>
        <b/>
        <sz val="10"/>
        <color theme="1"/>
        <rFont val="Calibri"/>
        <family val="2"/>
        <charset val="186"/>
        <scheme val="minor"/>
      </rPr>
      <t xml:space="preserve">Pagrindiniam tinklui </t>
    </r>
    <r>
      <rPr>
        <i/>
        <sz val="10"/>
        <color theme="1"/>
        <rFont val="Calibri"/>
        <family val="2"/>
        <charset val="186"/>
        <scheme val="minor"/>
      </rPr>
      <t>(lygis perdavimo Pagrindiniu tinklu paslaugų referencinėms kainoms nustatyti (už nuolatinius metų pajėgumų produktus))</t>
    </r>
  </si>
  <si>
    <t xml:space="preserve">   iš jų priskirta vidaus išleidimo taško - Achema </t>
  </si>
  <si>
    <t xml:space="preserve">   iš jų priskirta vidaus išleidimo taško</t>
  </si>
  <si>
    <r>
      <t xml:space="preserve">     iš jų priskirta </t>
    </r>
    <r>
      <rPr>
        <b/>
        <sz val="10"/>
        <color theme="1"/>
        <rFont val="Calibri"/>
        <family val="2"/>
        <charset val="186"/>
        <scheme val="minor"/>
      </rPr>
      <t>Lokaliam tinklui</t>
    </r>
    <r>
      <rPr>
        <sz val="10"/>
        <color theme="1"/>
        <rFont val="Calibri"/>
        <family val="2"/>
        <charset val="186"/>
        <scheme val="minor"/>
      </rPr>
      <t xml:space="preserve"> vartojimo pajėgumams</t>
    </r>
  </si>
  <si>
    <t>iš jų priskirta pajamoms už vartojimo pajėgumus vidaus išleidimo taško</t>
  </si>
  <si>
    <t xml:space="preserve">iš jų priskirta pajamoms už vartojimo pajėgumus vidaus išleidimo taško - Achema </t>
  </si>
  <si>
    <r>
      <t xml:space="preserve">     iš jų priskirta pagr. tinklui dėl l</t>
    </r>
    <r>
      <rPr>
        <b/>
        <sz val="10"/>
        <color theme="1"/>
        <rFont val="Calibri"/>
        <family val="2"/>
        <charset val="186"/>
        <scheme val="minor"/>
      </rPr>
      <t>okalaus tinklo</t>
    </r>
  </si>
  <si>
    <t>iš jų priskirta pajamoms už ilgalaikius pajėgumus dėl lokalaus tinklo vidaus išleidimo taško</t>
  </si>
  <si>
    <t>iš jų priskirta pajamoms už ilgalaikius pajėgumus dėl lokalaus tinklo vidaus išleidimo taško - Achema</t>
  </si>
  <si>
    <r>
      <t xml:space="preserve">LP dalis, </t>
    </r>
    <r>
      <rPr>
        <sz val="10"/>
        <color theme="1"/>
        <rFont val="Calibri"/>
        <family val="2"/>
        <charset val="186"/>
        <scheme val="minor"/>
      </rPr>
      <t xml:space="preserve">priskirtina </t>
    </r>
    <r>
      <rPr>
        <b/>
        <sz val="10"/>
        <color theme="1"/>
        <rFont val="Calibri"/>
        <family val="2"/>
        <charset val="186"/>
        <scheme val="minor"/>
      </rPr>
      <t xml:space="preserve">trumpalaikėms paslaugoms </t>
    </r>
    <r>
      <rPr>
        <i/>
        <sz val="10"/>
        <color theme="1"/>
        <rFont val="Calibri"/>
        <family val="2"/>
        <charset val="186"/>
        <scheme val="minor"/>
      </rPr>
      <t>(nuo 2020 m. LP dalis nėra priskiriamo šioms paslaugoms, nes metų pajėgumų produktų kainos yra skaičiuojamos pagal bendrą metų pajėgumų ekvivalento prognozę):</t>
    </r>
  </si>
  <si>
    <r>
      <t>iš jų priskirta Pagrindiniam tinklui</t>
    </r>
    <r>
      <rPr>
        <i/>
        <vertAlign val="superscript"/>
        <sz val="10"/>
        <color theme="1"/>
        <rFont val="Calibri"/>
        <family val="2"/>
        <charset val="186"/>
        <scheme val="minor"/>
      </rPr>
      <t xml:space="preserve"> </t>
    </r>
  </si>
  <si>
    <r>
      <t>iš jų priskirta Lokaliam tinklui</t>
    </r>
    <r>
      <rPr>
        <i/>
        <vertAlign val="superscript"/>
        <sz val="10"/>
        <color theme="1"/>
        <rFont val="Calibri"/>
        <family val="2"/>
        <charset val="186"/>
        <scheme val="minor"/>
      </rPr>
      <t xml:space="preserve"> </t>
    </r>
  </si>
  <si>
    <r>
      <t xml:space="preserve">LP dalis, </t>
    </r>
    <r>
      <rPr>
        <sz val="10"/>
        <color theme="1"/>
        <rFont val="Calibri"/>
        <family val="2"/>
        <charset val="186"/>
        <scheme val="minor"/>
      </rPr>
      <t xml:space="preserve">priskitina </t>
    </r>
    <r>
      <rPr>
        <b/>
        <sz val="10"/>
        <color theme="1"/>
        <rFont val="Calibri"/>
        <family val="2"/>
        <charset val="186"/>
        <scheme val="minor"/>
      </rPr>
      <t>perdavimo Pagrindiniu tinklu paslaugų referencinėms kainoms (už nuolatinius metų pajėgumus), perdavimo Lokaliu tinklu ilgalaikių paslaugų kainoms ir kainoms už kiekį skaičiuoti</t>
    </r>
    <r>
      <rPr>
        <sz val="10"/>
        <color theme="1"/>
        <rFont val="Calibri"/>
        <family val="2"/>
        <charset val="186"/>
        <scheme val="minor"/>
      </rPr>
      <t>:</t>
    </r>
  </si>
  <si>
    <r>
      <t xml:space="preserve">LP dalis, </t>
    </r>
    <r>
      <rPr>
        <sz val="10"/>
        <color theme="1"/>
        <rFont val="Calibri"/>
        <family val="2"/>
        <charset val="238"/>
        <scheme val="minor"/>
      </rPr>
      <t xml:space="preserve">priskirtina </t>
    </r>
    <r>
      <rPr>
        <b/>
        <sz val="10"/>
        <color theme="1"/>
        <rFont val="Calibri"/>
        <family val="2"/>
        <charset val="238"/>
        <scheme val="minor"/>
      </rPr>
      <t>Pagrindinio tinklo paslaugoms (iki Reguliavimo sąskaitos įvertinimo)</t>
    </r>
    <r>
      <rPr>
        <sz val="10"/>
        <color theme="1"/>
        <rFont val="Calibri"/>
        <family val="2"/>
        <charset val="238"/>
        <scheme val="minor"/>
      </rPr>
      <t>:</t>
    </r>
  </si>
  <si>
    <t xml:space="preserve">iš jų priskirta dujų perdavimo ES poreikiams Pagrindiniu tinklu paslaugai </t>
  </si>
  <si>
    <r>
      <t>iš jų priskirta transportavimo į trečiąją šalį paslaugai už pajėgumu grindžiamas kainas</t>
    </r>
    <r>
      <rPr>
        <i/>
        <vertAlign val="superscript"/>
        <sz val="10"/>
        <color theme="1"/>
        <rFont val="Calibri"/>
        <family val="2"/>
        <charset val="186"/>
        <scheme val="minor"/>
      </rPr>
      <t xml:space="preserve"> </t>
    </r>
  </si>
  <si>
    <t xml:space="preserve">iš jų priskirta dujų perdavimo ES poreikiams Pagrindiniu tinklu paslaugai už pajėgumu grindžiamas kainas </t>
  </si>
  <si>
    <r>
      <t>iš jų priskirta transportavimo į trečiąją šalį paslaugai už kiekiu grindžiamas kainas</t>
    </r>
    <r>
      <rPr>
        <i/>
        <vertAlign val="superscript"/>
        <sz val="10"/>
        <color theme="1"/>
        <rFont val="Calibri"/>
        <family val="2"/>
        <charset val="186"/>
        <scheme val="minor"/>
      </rPr>
      <t xml:space="preserve"> </t>
    </r>
  </si>
  <si>
    <t xml:space="preserve">iš jų priskirta dujų perdavimo ES poreikiams Pagrindiniu tinklu paslaugai už kiekiu grindžiamas kainas </t>
  </si>
  <si>
    <t>Įleidimo kaina (kaip taikoma FINESTLAT kainų zonoje)</t>
  </si>
  <si>
    <r>
      <t xml:space="preserve">Įleidimo / išleidimo pajamų proporcija </t>
    </r>
    <r>
      <rPr>
        <sz val="10"/>
        <color theme="1"/>
        <rFont val="Calibri"/>
        <family val="2"/>
        <charset val="186"/>
        <scheme val="minor"/>
      </rPr>
      <t xml:space="preserve">(angl. </t>
    </r>
    <r>
      <rPr>
        <i/>
        <sz val="10"/>
        <color theme="1"/>
        <rFont val="Calibri"/>
        <family val="2"/>
        <charset val="186"/>
        <scheme val="minor"/>
      </rPr>
      <t>Entry/Exit split</t>
    </r>
    <r>
      <rPr>
        <sz val="10"/>
        <color theme="1"/>
        <rFont val="Calibri"/>
        <family val="2"/>
        <charset val="186"/>
        <scheme val="minor"/>
      </rPr>
      <t>) (pradinė/kaip įvesties parametras)</t>
    </r>
  </si>
  <si>
    <t>Įleidimo</t>
  </si>
  <si>
    <t>Išleidimo</t>
  </si>
  <si>
    <r>
      <t xml:space="preserve">Pajėgumų / kiekio pajamų proporcija </t>
    </r>
    <r>
      <rPr>
        <sz val="10"/>
        <color theme="1"/>
        <rFont val="Calibri"/>
        <family val="2"/>
        <charset val="186"/>
        <scheme val="minor"/>
      </rPr>
      <t xml:space="preserve">(angl. </t>
    </r>
    <r>
      <rPr>
        <i/>
        <sz val="10"/>
        <color theme="1"/>
        <rFont val="Calibri"/>
        <family val="2"/>
        <charset val="186"/>
        <scheme val="minor"/>
      </rPr>
      <t>Capacity/commodity split</t>
    </r>
    <r>
      <rPr>
        <sz val="10"/>
        <color theme="1"/>
        <rFont val="Calibri"/>
        <family val="2"/>
        <charset val="186"/>
        <scheme val="minor"/>
      </rPr>
      <t>)</t>
    </r>
  </si>
  <si>
    <t>Pajėgumai</t>
  </si>
  <si>
    <t>Kiekis</t>
  </si>
  <si>
    <r>
      <t xml:space="preserve">SGD įleidimo </t>
    </r>
    <r>
      <rPr>
        <sz val="10"/>
        <color theme="1"/>
        <rFont val="Calibri"/>
        <family val="2"/>
        <charset val="186"/>
        <scheme val="minor"/>
      </rPr>
      <t xml:space="preserve">(Klaipėdos) </t>
    </r>
    <r>
      <rPr>
        <b/>
        <sz val="10"/>
        <color theme="1"/>
        <rFont val="Calibri"/>
        <family val="2"/>
        <charset val="186"/>
        <scheme val="minor"/>
      </rPr>
      <t xml:space="preserve">taško nuolaida </t>
    </r>
  </si>
  <si>
    <t>Santakta įleidimo taško nuolaida</t>
  </si>
  <si>
    <t>Vidaus įleidimo taško (atsinaujinančių dujų) nuolaida</t>
  </si>
  <si>
    <r>
      <t xml:space="preserve">Įleidimo / išleidimo pajamų proporcija </t>
    </r>
    <r>
      <rPr>
        <sz val="10"/>
        <color theme="1"/>
        <rFont val="Calibri"/>
        <family val="2"/>
        <charset val="186"/>
        <scheme val="minor"/>
      </rPr>
      <t xml:space="preserve">(angl. </t>
    </r>
    <r>
      <rPr>
        <i/>
        <sz val="10"/>
        <color theme="1"/>
        <rFont val="Calibri"/>
        <family val="2"/>
        <charset val="186"/>
        <scheme val="minor"/>
      </rPr>
      <t>Entry/Exit split</t>
    </r>
    <r>
      <rPr>
        <sz val="10"/>
        <color theme="1"/>
        <rFont val="Calibri"/>
        <family val="2"/>
        <charset val="186"/>
        <scheme val="minor"/>
      </rPr>
      <t>) (kaip Referencinės kainų metodikos (RKM) taikymo rezultatas)</t>
    </r>
  </si>
  <si>
    <r>
      <t>Užsakomų pajėgumų prognozė</t>
    </r>
    <r>
      <rPr>
        <i/>
        <sz val="10"/>
        <color theme="1"/>
        <rFont val="Calibri"/>
        <family val="2"/>
        <charset val="186"/>
        <scheme val="minor"/>
      </rPr>
      <t xml:space="preserve"> (pajėgumu grindžiamų perdavimo kainų išvedimui) </t>
    </r>
  </si>
  <si>
    <t>Įleidimo taškų suma transportavimui į išleidimo taškus, kitus nei į Šakių išleidimo tašką, iš viso</t>
  </si>
  <si>
    <t>MWh/parą/metus</t>
  </si>
  <si>
    <t>(BY&gt;LT) Kotlovkos įleidimo taškas (EU)</t>
  </si>
  <si>
    <t>(LV&gt;LT) Santakos įleidimo taškas</t>
  </si>
  <si>
    <t>Išleidimo taškų suma iš viso</t>
  </si>
  <si>
    <t>(LT) Vidiniai išleidimo taškai:</t>
  </si>
  <si>
    <t>Vidinis išleidimo taškas</t>
  </si>
  <si>
    <t>Vidinis išleidimo taškas - Achema</t>
  </si>
  <si>
    <r>
      <t>Dujų srautų ir vartojimo pajėgumų prognozė</t>
    </r>
    <r>
      <rPr>
        <i/>
        <sz val="10"/>
        <color theme="1"/>
        <rFont val="Calibri"/>
        <family val="2"/>
        <charset val="186"/>
        <scheme val="minor"/>
      </rPr>
      <t xml:space="preserve"> </t>
    </r>
  </si>
  <si>
    <t>Visi išleidimo taškai: bendra išleidž. dujų srautų suma kiekiu grindžiamų perdav. kainų išvedimui</t>
  </si>
  <si>
    <t>MWh/metus</t>
  </si>
  <si>
    <t>(LT&gt;LV) Santaka išleidimo taškas</t>
  </si>
  <si>
    <t>(LT) Vidinis išleidimo taškas: vartojimo pajėgumai Lokalaus tinklo kainų išvedimui</t>
  </si>
  <si>
    <t xml:space="preserve">PERDAVIMO KAINOS: </t>
  </si>
  <si>
    <r>
      <t xml:space="preserve">Pajėgumu grindžiamos kainos </t>
    </r>
    <r>
      <rPr>
        <sz val="10"/>
        <color theme="1"/>
        <rFont val="Calibri"/>
        <family val="2"/>
        <charset val="186"/>
        <scheme val="minor"/>
      </rPr>
      <t xml:space="preserve">(angl. </t>
    </r>
    <r>
      <rPr>
        <i/>
        <sz val="10"/>
        <color theme="1"/>
        <rFont val="Calibri"/>
        <family val="2"/>
        <charset val="186"/>
        <scheme val="minor"/>
      </rPr>
      <t>Capacity-based tariffs</t>
    </r>
    <r>
      <rPr>
        <sz val="10"/>
        <color theme="1"/>
        <rFont val="Calibri"/>
        <family val="2"/>
        <charset val="186"/>
        <scheme val="minor"/>
      </rPr>
      <t>)</t>
    </r>
    <r>
      <rPr>
        <b/>
        <sz val="10"/>
        <color theme="1"/>
        <rFont val="Calibri"/>
        <family val="2"/>
        <charset val="238"/>
        <scheme val="minor"/>
      </rPr>
      <t xml:space="preserve">: Rezervuojamosios kainos (už nuolatinius metų pajėgumų produktus) </t>
    </r>
  </si>
  <si>
    <t>EUR/MWh/parą/metus</t>
  </si>
  <si>
    <t>(LT) Vidiniai išleidimo taškui*</t>
  </si>
  <si>
    <t>lokalaus tinklo dedamoji Vidaus išleidimo taškui</t>
  </si>
  <si>
    <t>lokalaus tinklo dedamoji Vidaus išleidimo - Achema taškui</t>
  </si>
  <si>
    <t>(LT) Galutinė Vidinio išleidimo taško kaina</t>
  </si>
  <si>
    <t>(LT) Galutinė Vidinio išleidimo taško - Achema kaina</t>
  </si>
  <si>
    <r>
      <t xml:space="preserve">Kainos už kiekį </t>
    </r>
    <r>
      <rPr>
        <sz val="10"/>
        <color theme="1"/>
        <rFont val="Calibri"/>
        <family val="2"/>
        <charset val="186"/>
        <scheme val="minor"/>
      </rPr>
      <t xml:space="preserve">(angl. </t>
    </r>
    <r>
      <rPr>
        <i/>
        <sz val="10"/>
        <color theme="1"/>
        <rFont val="Calibri"/>
        <family val="2"/>
        <charset val="186"/>
        <scheme val="minor"/>
      </rPr>
      <t>Flow-based charges</t>
    </r>
    <r>
      <rPr>
        <sz val="10"/>
        <color theme="1"/>
        <rFont val="Calibri"/>
        <family val="2"/>
        <charset val="186"/>
        <scheme val="minor"/>
      </rPr>
      <t>)</t>
    </r>
    <r>
      <rPr>
        <b/>
        <sz val="10"/>
        <color theme="1"/>
        <rFont val="Calibri"/>
        <family val="2"/>
        <charset val="238"/>
        <scheme val="minor"/>
      </rPr>
      <t>:</t>
    </r>
  </si>
  <si>
    <t>KAINŲ UŽ KIEKĮ SUDEDAMŲJŲ DALIŲ UŽ PAGRINDINĮ IR LOKALŲ TINKLUS SKAIČIAVIMAS:</t>
  </si>
  <si>
    <t>Pagrindinis tinklas:</t>
  </si>
  <si>
    <r>
      <t xml:space="preserve">Kiekiu grindžiama kaina (angl. </t>
    </r>
    <r>
      <rPr>
        <i/>
        <sz val="10"/>
        <color theme="1"/>
        <rFont val="Calibri"/>
        <family val="2"/>
        <charset val="186"/>
        <scheme val="minor"/>
      </rPr>
      <t>Commodity-based tariff</t>
    </r>
    <r>
      <rPr>
        <sz val="10"/>
        <color theme="1"/>
        <rFont val="Calibri"/>
        <family val="2"/>
        <charset val="186"/>
        <scheme val="minor"/>
      </rPr>
      <t>) visuose išleidimo taškuose</t>
    </r>
  </si>
  <si>
    <t>Susietųjų pajėgumų aukcionas</t>
  </si>
  <si>
    <t>Kainos žignsis taikomas Kiemėnų išleidimo ir įleidimo taške paros ir einamosios paros pajėgumų produktamsPrice Step at Kiemėnai Exit and Entry for Day-Ahead and Within-Day Products</t>
  </si>
  <si>
    <t>Tarifų metai 2023</t>
  </si>
  <si>
    <t>Tarifų metai 2024</t>
  </si>
  <si>
    <t>Tarifų metai 2025</t>
  </si>
  <si>
    <t>Tarifų metai 2026</t>
  </si>
  <si>
    <t>Tarifų metai 2027</t>
  </si>
  <si>
    <t>Tarifų metai 2028</t>
  </si>
  <si>
    <t>! Nepriklausomai nuo įvesties duomenų, įleidimo/išleidimo proporcijos, kaip įvesties parametro, įleidimo (%) dalis 2023-2025 m. (šio darbalaukio laukeliai E75:G76) turi būti pakoreguoti taip, kad referencinė kaina Kotlovkos įleidimo taške (laisvai skirstomiems pajėgumams) (šio darbalaukio laukelis F124:G124) būtų lygi 142,77 Eur (kaip taikoma FINESTLAT kainų zonoje). Nuo 2026 m. keičiama H75 celė nustatant įleidimo referencinę kainą.</t>
  </si>
  <si>
    <r>
      <rPr>
        <b/>
        <sz val="11"/>
        <rFont val="Calibri"/>
        <family val="2"/>
        <charset val="186"/>
        <scheme val="minor"/>
      </rPr>
      <t>PAAIŠKINIMAI:</t>
    </r>
    <r>
      <rPr>
        <sz val="11"/>
        <rFont val="Calibri"/>
        <family val="2"/>
        <charset val="186"/>
        <scheme val="minor"/>
      </rPr>
      <t xml:space="preserve">
Šio kainų skaičiavimo modelio 3 darbalaukiai yra skirti šiems tikslams:
 - šis darbalaukis: referencinių kainų (už nuolatinius metų pajėgumų produktus), kainų už kiekį, kainų už vartojimo pajėgumus (pagrindiniai įvesties parametrai turi būti įvedami šiame darbalaukyje);
- darbalaukis DG_SK, Trumpal.: trumpalaikių nuolatinių pajėgumų produktų kainų skaičiavimui, įskaitant daugiklių ir sezoninių koeficientų įvesties duomenis;
- darbalaukis SK skaičiavimas_Vieningi: bendrų sezoninių koeficientų taikomų Vidiniuose ir Šakių išleidimo taškuose 2026 m. - 2028m. skaičiavimui.</t>
    </r>
  </si>
  <si>
    <r>
      <rPr>
        <b/>
        <sz val="18"/>
        <color theme="1"/>
        <rFont val="Calibri"/>
        <family val="2"/>
        <charset val="186"/>
      </rPr>
      <t>Pastaba dėl atsakomybės – Supaprastintas tarifų modelis (TAR NC 30 straipsnis)</t>
    </r>
    <r>
      <rPr>
        <b/>
        <sz val="16"/>
        <color theme="1"/>
        <rFont val="Calibri"/>
        <family val="2"/>
        <charset val="186"/>
      </rPr>
      <t xml:space="preserve">
</t>
    </r>
    <r>
      <rPr>
        <b/>
        <sz val="14"/>
        <color theme="1"/>
        <rFont val="Calibri"/>
        <family val="2"/>
        <charset val="186"/>
      </rPr>
      <t xml:space="preserve">
</t>
    </r>
    <r>
      <rPr>
        <sz val="14"/>
        <color theme="1"/>
        <rFont val="Calibri"/>
        <family val="2"/>
        <charset val="186"/>
      </rPr>
      <t xml:space="preserve">Šis supaprastintas tarifų modelis paskelbtas vadovaujantis 2017 m. kovo 16 d. Europos Komisijos reglamento (ES) 2017/460, kuriuo nustatomas suderintos gamtinių dujų perdavimo tarifų struktūros tinklo kodeksas („TAR NC“), 30 straipsnio 2 dalies a punkto ii papunkčiu ir b punktu. Modelio tikslas - suteikti sistemos naudotojams galimybę:
• įvertinti orientacinį perdavimo tarifų lygio skirtumą tarp galiojančio tarifų laikotarpio ir likusių einamojo reguliavimo laikotarpio tarifų laikotarpių; ir
• apskaičiuoti orientacinius perdavimo tarifus bei įvertinti jų galimą pokytį po einamojo tarifų laikotarpio, keičiant įvesties parametrus.
</t>
    </r>
    <r>
      <rPr>
        <b/>
        <sz val="14"/>
        <color theme="1"/>
        <rFont val="Calibri"/>
        <family val="2"/>
        <charset val="186"/>
      </rPr>
      <t xml:space="preserve">
</t>
    </r>
    <r>
      <rPr>
        <sz val="14"/>
        <color theme="1"/>
        <rFont val="Calibri"/>
        <family val="2"/>
        <charset val="186"/>
      </rPr>
      <t xml:space="preserve">Modelis pateikiamas tik bendro pobūdžio informaciniais tikslais.
</t>
    </r>
    <r>
      <rPr>
        <b/>
        <sz val="14"/>
        <color theme="1"/>
        <rFont val="Calibri"/>
        <family val="2"/>
        <charset val="186"/>
      </rPr>
      <t>2023–2026 m. perdavimo tarifus patvirtino nacionalinė reguliavimo institucija (VERT).</t>
    </r>
    <r>
      <rPr>
        <sz val="14"/>
        <color theme="1"/>
        <rFont val="Calibri"/>
        <family val="2"/>
        <charset val="186"/>
      </rPr>
      <t xml:space="preserve">
2027–2028 m. perdavimo tarifai ir kiti įvesties parametrai šiame modelyje pateikiami preliminariai. PVR reikšmės rodomos tokios, kokios buvo paskelbtos viešosios konsultacijos pagal TAR NC 26 straipsnį metu. Naudojami duomenys skirti tik demonstraciniams tikslams ir neatspindi faktinių reikšmių, kurios bus taikomos nustatant tarifus.
Šio modelio rezultatai nėra privalomi ir nesukuria jokių teisių ar įsipareigojimų. Faktinius perdavimo tarifus nustatys VERT, priimdama atitinkamą oficialų sprendimą. Esant bet kokiam šio modelio ir oficialiai patvirtintų ar paskelbtų tarifų neatitikimui, viršenybę turi VERT patvirtinti tarifai.</t>
    </r>
    <r>
      <rPr>
        <b/>
        <sz val="16"/>
        <color theme="1"/>
        <rFont val="Calibri"/>
        <family val="2"/>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</si>
</sst>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 _€_-;\-* #,##0.00\ _€_-;_-* &quot;-&quot;??\ _€_-;_-@_-"/>
    <numFmt numFmtId="165" formatCode="#,##0\ _z_ł"/>
    <numFmt numFmtId="166" formatCode="_-* #,##0\ _z_ł_-;\-* #,##0\ _z_ł_-;_-* &quot;-&quot;??\ _z_ł_-;_-@_-"/>
    <numFmt numFmtId="167" formatCode="_-* #,##0.0000\ _z_ł_-;\-* #,##0.0000\ _z_ł_-;_-* &quot;-&quot;??\ _z_ł_-;_-@_-"/>
    <numFmt numFmtId="168" formatCode="0.0%"/>
    <numFmt numFmtId="169" formatCode="#,##0.000"/>
    <numFmt numFmtId="170" formatCode="0.0000%"/>
    <numFmt numFmtId="171" formatCode="0.0000"/>
    <numFmt numFmtId="172" formatCode="#,##0.00\ _z_ł"/>
    <numFmt numFmtId="173" formatCode="#,##0.0"/>
    <numFmt numFmtId="174" formatCode="#,##0.00000000\ _z_ł"/>
    <numFmt numFmtId="175" formatCode="0.0"/>
    <numFmt numFmtId="176" formatCode="#,##0.000000"/>
    <numFmt numFmtId="177" formatCode="0.000"/>
    <numFmt numFmtId="178" formatCode="#,##0.0000000000"/>
  </numFmts>
  <fonts count="6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Calibri"/>
      <family val="2"/>
      <charset val="238"/>
      <scheme val="minor"/>
    </font>
    <font>
      <b/>
      <sz val="12"/>
      <color theme="0"/>
      <name val="Calibri"/>
      <family val="2"/>
      <charset val="238"/>
      <scheme val="minor"/>
    </font>
    <font>
      <b/>
      <sz val="10"/>
      <color theme="1"/>
      <name val="Calibri"/>
      <family val="2"/>
      <charset val="238"/>
      <scheme val="minor"/>
    </font>
    <font>
      <sz val="10"/>
      <color theme="1"/>
      <name val="Calibri"/>
      <family val="2"/>
      <charset val="238"/>
      <scheme val="minor"/>
    </font>
    <font>
      <sz val="10"/>
      <name val="Arial"/>
      <family val="2"/>
      <charset val="238"/>
    </font>
    <font>
      <sz val="10"/>
      <color theme="1"/>
      <name val="Arial"/>
      <family val="2"/>
      <charset val="238"/>
    </font>
    <font>
      <sz val="10"/>
      <color theme="1"/>
      <name val="Calibri"/>
      <family val="2"/>
      <charset val="186"/>
    </font>
    <font>
      <sz val="12"/>
      <color theme="1"/>
      <name val="Calibri"/>
      <family val="2"/>
      <charset val="186"/>
    </font>
    <font>
      <sz val="10"/>
      <color theme="1"/>
      <name val="Calibri"/>
      <family val="2"/>
      <charset val="186"/>
      <scheme val="minor"/>
    </font>
    <font>
      <i/>
      <sz val="10"/>
      <color theme="1"/>
      <name val="Calibri"/>
      <family val="2"/>
      <charset val="186"/>
      <scheme val="minor"/>
    </font>
    <font>
      <b/>
      <sz val="18"/>
      <color theme="1"/>
      <name val="Calibri"/>
      <family val="2"/>
      <charset val="186"/>
    </font>
    <font>
      <b/>
      <sz val="10"/>
      <color theme="1"/>
      <name val="Calibri"/>
      <family val="2"/>
      <charset val="186"/>
      <scheme val="minor"/>
    </font>
    <font>
      <i/>
      <sz val="10"/>
      <color theme="9" tint="-0.249977111117893"/>
      <name val="Calibri"/>
      <family val="2"/>
      <charset val="186"/>
      <scheme val="minor"/>
    </font>
    <font>
      <i/>
      <sz val="10"/>
      <color rgb="FF0070C0"/>
      <name val="Calibri"/>
      <family val="2"/>
      <charset val="186"/>
      <scheme val="minor"/>
    </font>
    <font>
      <sz val="9"/>
      <color theme="2" tint="-0.499984740745262"/>
      <name val="Calibri"/>
      <family val="2"/>
      <charset val="186"/>
      <scheme val="minor"/>
    </font>
    <font>
      <sz val="9"/>
      <color theme="2" tint="-0.499984740745262"/>
      <name val="Calibri"/>
      <family val="2"/>
      <charset val="238"/>
      <scheme val="minor"/>
    </font>
    <font>
      <b/>
      <sz val="10"/>
      <color rgb="FFFF0000"/>
      <name val="Calibri"/>
      <family val="2"/>
      <charset val="186"/>
      <scheme val="minor"/>
    </font>
    <font>
      <sz val="11"/>
      <color rgb="FFFF0000"/>
      <name val="Calibri"/>
      <family val="2"/>
      <scheme val="minor"/>
    </font>
    <font>
      <b/>
      <i/>
      <sz val="10"/>
      <color rgb="FF0070C0"/>
      <name val="Calibri"/>
      <family val="2"/>
      <charset val="186"/>
      <scheme val="minor"/>
    </font>
    <font>
      <sz val="10"/>
      <name val="Arial"/>
      <family val="2"/>
      <charset val="186"/>
    </font>
    <font>
      <i/>
      <sz val="10"/>
      <color theme="0" tint="-0.499984740745262"/>
      <name val="Calibri"/>
      <family val="2"/>
      <charset val="186"/>
      <scheme val="minor"/>
    </font>
    <font>
      <b/>
      <i/>
      <sz val="10"/>
      <color theme="0" tint="-0.499984740745262"/>
      <name val="Calibri"/>
      <family val="2"/>
      <charset val="186"/>
      <scheme val="minor"/>
    </font>
    <font>
      <i/>
      <sz val="10"/>
      <color theme="1"/>
      <name val="Calibri"/>
      <family val="2"/>
      <charset val="238"/>
      <scheme val="minor"/>
    </font>
    <font>
      <b/>
      <sz val="11"/>
      <color theme="1"/>
      <name val="Calibri"/>
      <family val="2"/>
      <charset val="186"/>
      <scheme val="minor"/>
    </font>
    <font>
      <sz val="10"/>
      <color theme="0" tint="-0.499984740745262"/>
      <name val="Calibri"/>
      <family val="2"/>
      <charset val="186"/>
      <scheme val="minor"/>
    </font>
    <font>
      <sz val="9"/>
      <color theme="1"/>
      <name val="Calibri"/>
      <family val="2"/>
      <scheme val="minor"/>
    </font>
    <font>
      <sz val="8"/>
      <name val="Calibri"/>
      <family val="2"/>
      <scheme val="minor"/>
    </font>
    <font>
      <i/>
      <sz val="11"/>
      <color rgb="FF0070C0"/>
      <name val="Calibri"/>
      <family val="2"/>
      <charset val="186"/>
      <scheme val="minor"/>
    </font>
    <font>
      <b/>
      <i/>
      <sz val="10"/>
      <color theme="1"/>
      <name val="Calibri"/>
      <family val="2"/>
      <charset val="186"/>
      <scheme val="minor"/>
    </font>
    <font>
      <sz val="10"/>
      <name val="Calibri"/>
      <family val="2"/>
      <charset val="238"/>
      <scheme val="minor"/>
    </font>
    <font>
      <b/>
      <sz val="10"/>
      <color theme="1" tint="0.14999847407452621"/>
      <name val="Calibri"/>
      <family val="2"/>
      <charset val="186"/>
      <scheme val="minor"/>
    </font>
    <font>
      <b/>
      <sz val="10"/>
      <color theme="1" tint="0.14999847407452621"/>
      <name val="Calibri"/>
      <family val="2"/>
      <scheme val="minor"/>
    </font>
    <font>
      <i/>
      <sz val="10"/>
      <color theme="1" tint="0.14999847407452621"/>
      <name val="Calibri"/>
      <family val="2"/>
      <scheme val="minor"/>
    </font>
    <font>
      <sz val="10"/>
      <color theme="1" tint="0.14999847407452621"/>
      <name val="Calibri"/>
      <family val="2"/>
      <scheme val="minor"/>
    </font>
    <font>
      <sz val="11"/>
      <color theme="1" tint="0.14999847407452621"/>
      <name val="Calibri"/>
      <family val="2"/>
      <scheme val="minor"/>
    </font>
    <font>
      <sz val="10"/>
      <color theme="1" tint="0.14999847407452621"/>
      <name val="Calibri"/>
      <family val="2"/>
      <charset val="186"/>
      <scheme val="minor"/>
    </font>
    <font>
      <i/>
      <sz val="11"/>
      <color theme="1" tint="0.14999847407452621"/>
      <name val="Calibri"/>
      <family val="2"/>
      <charset val="186"/>
      <scheme val="minor"/>
    </font>
    <font>
      <i/>
      <sz val="10"/>
      <color theme="1" tint="0.14999847407452621"/>
      <name val="Calibri"/>
      <family val="2"/>
      <charset val="186"/>
      <scheme val="minor"/>
    </font>
    <font>
      <b/>
      <sz val="10"/>
      <color theme="0"/>
      <name val="Calibri"/>
      <family val="2"/>
      <scheme val="minor"/>
    </font>
    <font>
      <b/>
      <sz val="12"/>
      <color theme="0"/>
      <name val="Calibri"/>
      <family val="2"/>
      <scheme val="minor"/>
    </font>
    <font>
      <sz val="11"/>
      <color theme="0"/>
      <name val="Calibri"/>
      <family val="2"/>
      <scheme val="minor"/>
    </font>
    <font>
      <b/>
      <sz val="10"/>
      <color theme="0"/>
      <name val="Calibri"/>
      <family val="2"/>
      <charset val="186"/>
      <scheme val="minor"/>
    </font>
    <font>
      <b/>
      <sz val="12"/>
      <color theme="1" tint="0.14999847407452621"/>
      <name val="Calibri"/>
      <family val="2"/>
      <scheme val="minor"/>
    </font>
    <font>
      <b/>
      <i/>
      <sz val="10"/>
      <color theme="4" tint="-0.249977111117893"/>
      <name val="Calibri"/>
      <family val="2"/>
      <charset val="186"/>
      <scheme val="minor"/>
    </font>
    <font>
      <b/>
      <i/>
      <sz val="11"/>
      <color theme="4" tint="-0.249977111117893"/>
      <name val="Calibri"/>
      <family val="2"/>
      <charset val="186"/>
      <scheme val="minor"/>
    </font>
    <font>
      <b/>
      <i/>
      <u/>
      <sz val="11"/>
      <color rgb="FFFF0000"/>
      <name val="Calibri"/>
      <family val="2"/>
      <charset val="186"/>
      <scheme val="minor"/>
    </font>
    <font>
      <b/>
      <sz val="11"/>
      <color theme="1" tint="0.14999847407452621"/>
      <name val="Calibri"/>
      <family val="2"/>
      <charset val="186"/>
      <scheme val="minor"/>
    </font>
    <font>
      <i/>
      <sz val="12"/>
      <color theme="1"/>
      <name val="Calibri"/>
      <family val="2"/>
      <charset val="186"/>
    </font>
    <font>
      <sz val="9"/>
      <name val="Calibri"/>
      <family val="2"/>
      <charset val="186"/>
      <scheme val="minor"/>
    </font>
    <font>
      <i/>
      <u/>
      <sz val="10"/>
      <color theme="1"/>
      <name val="Calibri"/>
      <family val="2"/>
      <charset val="186"/>
      <scheme val="minor"/>
    </font>
    <font>
      <b/>
      <i/>
      <u/>
      <sz val="12"/>
      <color theme="1"/>
      <name val="Calibri"/>
      <family val="2"/>
      <charset val="186"/>
      <scheme val="minor"/>
    </font>
    <font>
      <sz val="11"/>
      <name val="Calibri"/>
      <family val="2"/>
      <charset val="186"/>
      <scheme val="minor"/>
    </font>
    <font>
      <b/>
      <sz val="11"/>
      <name val="Calibri"/>
      <family val="2"/>
      <charset val="186"/>
      <scheme val="minor"/>
    </font>
    <font>
      <b/>
      <sz val="16"/>
      <color theme="1"/>
      <name val="Calibri"/>
      <family val="2"/>
      <charset val="186"/>
    </font>
    <font>
      <b/>
      <sz val="14"/>
      <color theme="1"/>
      <name val="Calibri"/>
      <family val="2"/>
      <charset val="186"/>
    </font>
    <font>
      <sz val="14"/>
      <color theme="1"/>
      <name val="Calibri"/>
      <family val="2"/>
      <charset val="186"/>
    </font>
    <font>
      <i/>
      <vertAlign val="superscript"/>
      <sz val="10"/>
      <color theme="1"/>
      <name val="Calibri"/>
      <family val="2"/>
      <charset val="186"/>
      <scheme val="minor"/>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67C08B"/>
        <bgColor indexed="64"/>
      </patternFill>
    </fill>
    <fill>
      <patternFill patternType="solid">
        <fgColor rgb="FFEAEEEF"/>
        <bgColor indexed="64"/>
      </patternFill>
    </fill>
    <fill>
      <patternFill patternType="solid">
        <fgColor rgb="FF63AFC6"/>
        <bgColor indexed="64"/>
      </patternFill>
    </fill>
    <fill>
      <patternFill patternType="solid">
        <fgColor rgb="FF5A6265"/>
        <bgColor indexed="64"/>
      </patternFill>
    </fill>
    <fill>
      <patternFill patternType="solid">
        <fgColor rgb="FFE8C895"/>
        <bgColor indexed="64"/>
      </patternFill>
    </fill>
    <fill>
      <patternFill patternType="solid">
        <fgColor rgb="FFD9D9D9"/>
        <bgColor indexed="64"/>
      </patternFill>
    </fill>
    <fill>
      <patternFill patternType="solid">
        <fgColor theme="8"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ck">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ck">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ck">
        <color theme="0" tint="-0.34998626667073579"/>
      </left>
      <right style="thin">
        <color theme="0" tint="-0.34998626667073579"/>
      </right>
      <top style="thin">
        <color theme="0" tint="-0.34998626667073579"/>
      </top>
      <bottom/>
      <diagonal/>
    </border>
    <border>
      <left style="thin">
        <color theme="0" tint="-0.34998626667073579"/>
      </left>
      <right style="thick">
        <color theme="0" tint="-0.34998626667073579"/>
      </right>
      <top/>
      <bottom style="thin">
        <color theme="0" tint="-0.34998626667073579"/>
      </bottom>
      <diagonal/>
    </border>
    <border>
      <left style="thick">
        <color theme="0" tint="-0.34998626667073579"/>
      </left>
      <right style="thin">
        <color theme="0" tint="-0.34998626667073579"/>
      </right>
      <top/>
      <bottom style="thin">
        <color theme="0" tint="-0.34998626667073579"/>
      </bottom>
      <diagonal/>
    </border>
    <border>
      <left style="medium">
        <color rgb="FFFF0000"/>
      </left>
      <right style="medium">
        <color rgb="FFFF0000"/>
      </right>
      <top style="medium">
        <color rgb="FFFF0000"/>
      </top>
      <bottom style="medium">
        <color rgb="FFFF0000"/>
      </bottom>
      <diagonal/>
    </border>
    <border>
      <left style="medium">
        <color rgb="FF5A6265"/>
      </left>
      <right/>
      <top style="medium">
        <color rgb="FF5A6265"/>
      </top>
      <bottom/>
      <diagonal/>
    </border>
    <border>
      <left/>
      <right/>
      <top style="medium">
        <color rgb="FF5A6265"/>
      </top>
      <bottom/>
      <diagonal/>
    </border>
    <border>
      <left/>
      <right style="medium">
        <color rgb="FF5A6265"/>
      </right>
      <top style="medium">
        <color rgb="FF5A6265"/>
      </top>
      <bottom/>
      <diagonal/>
    </border>
    <border>
      <left style="medium">
        <color rgb="FF5A6265"/>
      </left>
      <right/>
      <top/>
      <bottom/>
      <diagonal/>
    </border>
    <border>
      <left style="thin">
        <color theme="0" tint="-0.34998626667073579"/>
      </left>
      <right style="medium">
        <color rgb="FF5A6265"/>
      </right>
      <top style="thin">
        <color theme="0" tint="-0.34998626667073579"/>
      </top>
      <bottom style="thin">
        <color theme="0" tint="-0.34998626667073579"/>
      </bottom>
      <diagonal/>
    </border>
    <border>
      <left style="medium">
        <color rgb="FF5A6265"/>
      </left>
      <right/>
      <top/>
      <bottom style="medium">
        <color rgb="FF5A6265"/>
      </bottom>
      <diagonal/>
    </border>
    <border>
      <left style="thin">
        <color theme="0" tint="-0.34998626667073579"/>
      </left>
      <right style="thick">
        <color theme="0" tint="-0.34998626667073579"/>
      </right>
      <top style="thin">
        <color theme="0" tint="-0.34998626667073579"/>
      </top>
      <bottom style="medium">
        <color rgb="FF5A6265"/>
      </bottom>
      <diagonal/>
    </border>
    <border>
      <left style="thick">
        <color theme="0" tint="-0.34998626667073579"/>
      </left>
      <right style="thin">
        <color theme="0" tint="-0.34998626667073579"/>
      </right>
      <top style="thin">
        <color theme="0" tint="-0.34998626667073579"/>
      </top>
      <bottom style="medium">
        <color rgb="FF5A6265"/>
      </bottom>
      <diagonal/>
    </border>
    <border>
      <left style="thin">
        <color theme="0" tint="-0.34998626667073579"/>
      </left>
      <right style="thin">
        <color theme="0" tint="-0.34998626667073579"/>
      </right>
      <top style="thin">
        <color theme="0" tint="-0.34998626667073579"/>
      </top>
      <bottom style="medium">
        <color rgb="FF5A6265"/>
      </bottom>
      <diagonal/>
    </border>
    <border>
      <left style="thin">
        <color theme="0" tint="-0.34998626667073579"/>
      </left>
      <right style="medium">
        <color rgb="FF5A6265"/>
      </right>
      <top style="thin">
        <color theme="0" tint="-0.34998626667073579"/>
      </top>
      <bottom style="medium">
        <color rgb="FF5A6265"/>
      </bottom>
      <diagonal/>
    </border>
    <border>
      <left/>
      <right style="medium">
        <color rgb="FF5A6265"/>
      </right>
      <top/>
      <bottom/>
      <diagonal/>
    </border>
    <border>
      <left style="thin">
        <color theme="0" tint="-0.34998626667073579"/>
      </left>
      <right style="medium">
        <color rgb="FF5A6265"/>
      </right>
      <top style="thin">
        <color theme="0" tint="-0.34998626667073579"/>
      </top>
      <bottom/>
      <diagonal/>
    </border>
    <border>
      <left/>
      <right style="thin">
        <color theme="0" tint="-0.34998626667073579"/>
      </right>
      <top style="thin">
        <color theme="0" tint="-0.34998626667073579"/>
      </top>
      <bottom style="medium">
        <color rgb="FF5A6265"/>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ck">
        <color theme="0" tint="-0.34998626667073579"/>
      </left>
      <right/>
      <top/>
      <bottom style="thin">
        <color theme="0" tint="-0.34998626667073579"/>
      </bottom>
      <diagonal/>
    </border>
    <border>
      <left/>
      <right style="thick">
        <color theme="0" tint="-0.34998626667073579"/>
      </right>
      <top/>
      <bottom style="thin">
        <color theme="0" tint="-0.34998626667073579"/>
      </bottom>
      <diagonal/>
    </border>
    <border>
      <left style="thin">
        <color theme="0" tint="-0.34998626667073579"/>
      </left>
      <right style="thick">
        <color theme="0" tint="-0.34998626667073579"/>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rgb="FF9B8578"/>
      </left>
      <right style="thin">
        <color rgb="FF9B8578"/>
      </right>
      <top style="thin">
        <color rgb="FF9B8578"/>
      </top>
      <bottom style="thin">
        <color rgb="FF9B8578"/>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rgb="FF9B8578"/>
      </left>
      <right style="thin">
        <color rgb="FF9B8578"/>
      </right>
      <top style="thin">
        <color rgb="FF9B8578"/>
      </top>
      <bottom/>
      <diagonal/>
    </border>
    <border>
      <left/>
      <right style="thin">
        <color indexed="64"/>
      </right>
      <top/>
      <bottom style="thin">
        <color indexed="64"/>
      </bottom>
      <diagonal/>
    </border>
    <border>
      <left style="thin">
        <color theme="0" tint="-0.34998626667073579"/>
      </left>
      <right/>
      <top style="thin">
        <color theme="0" tint="-0.34998626667073579"/>
      </top>
      <bottom/>
      <diagonal/>
    </border>
    <border>
      <left style="thin">
        <color rgb="FFDDD9C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rgb="FFDDD9C4"/>
      </right>
      <top style="thin">
        <color theme="0" tint="-0.34998626667073579"/>
      </top>
      <bottom style="thin">
        <color theme="0" tint="-0.34998626667073579"/>
      </bottom>
      <diagonal/>
    </border>
    <border>
      <left style="thin">
        <color rgb="FFDDD9C4"/>
      </left>
      <right style="thin">
        <color theme="0" tint="-0.34998626667073579"/>
      </right>
      <top style="thin">
        <color theme="0" tint="-0.34998626667073579"/>
      </top>
      <bottom style="thin">
        <color rgb="FFDDD9C4"/>
      </bottom>
      <diagonal/>
    </border>
    <border>
      <left style="thin">
        <color theme="0" tint="-0.34998626667073579"/>
      </left>
      <right style="thin">
        <color theme="0" tint="-0.34998626667073579"/>
      </right>
      <top style="thin">
        <color theme="0" tint="-0.34998626667073579"/>
      </top>
      <bottom style="thin">
        <color rgb="FFDDD9C4"/>
      </bottom>
      <diagonal/>
    </border>
    <border>
      <left style="thin">
        <color theme="0" tint="-0.34998626667073579"/>
      </left>
      <right style="thin">
        <color rgb="FFDDD9C4"/>
      </right>
      <top style="thin">
        <color theme="0" tint="-0.34998626667073579"/>
      </top>
      <bottom style="thin">
        <color rgb="FFDDD9C4"/>
      </bottom>
      <diagonal/>
    </border>
    <border>
      <left/>
      <right/>
      <top style="thin">
        <color theme="0" tint="-0.34998626667073579"/>
      </top>
      <bottom/>
      <diagonal/>
    </border>
    <border>
      <left/>
      <right style="thin">
        <color indexed="64"/>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indexed="64"/>
      </right>
      <top/>
      <bottom style="thin">
        <color theme="0" tint="-0.34998626667073579"/>
      </bottom>
      <diagonal/>
    </border>
    <border>
      <left style="thin">
        <color theme="0" tint="-0.34998626667073579"/>
      </left>
      <right/>
      <top/>
      <bottom style="thin">
        <color indexed="64"/>
      </bottom>
      <diagonal/>
    </border>
    <border>
      <left/>
      <right/>
      <top/>
      <bottom style="thin">
        <color rgb="FF9B8578"/>
      </bottom>
      <diagonal/>
    </border>
    <border>
      <left/>
      <right style="medium">
        <color rgb="FF5A6265"/>
      </right>
      <top/>
      <bottom style="thin">
        <color theme="0" tint="-0.34998626667073579"/>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9">
    <xf numFmtId="0" fontId="0" fillId="0" borderId="0"/>
    <xf numFmtId="164" fontId="10" fillId="0" borderId="0" applyFont="0" applyFill="0" applyBorder="0" applyAlignment="0" applyProtection="0"/>
    <xf numFmtId="9" fontId="10" fillId="0" borderId="0" applyFont="0" applyFill="0" applyBorder="0" applyAlignment="0" applyProtection="0"/>
    <xf numFmtId="0" fontId="15" fillId="0" borderId="0"/>
    <xf numFmtId="0" fontId="16" fillId="0" borderId="0"/>
    <xf numFmtId="0" fontId="9" fillId="0" borderId="0"/>
    <xf numFmtId="0" fontId="8" fillId="0" borderId="0"/>
    <xf numFmtId="9" fontId="8" fillId="0" borderId="0" applyFont="0" applyFill="0" applyBorder="0" applyAlignment="0" applyProtection="0"/>
    <xf numFmtId="0" fontId="30" fillId="0" borderId="0"/>
    <xf numFmtId="0" fontId="30" fillId="0" borderId="0"/>
    <xf numFmtId="0" fontId="7" fillId="0" borderId="0"/>
    <xf numFmtId="0" fontId="6" fillId="0" borderId="0"/>
    <xf numFmtId="0" fontId="5" fillId="0" borderId="0"/>
    <xf numFmtId="0" fontId="4" fillId="0" borderId="0"/>
    <xf numFmtId="164" fontId="10" fillId="0" borderId="0" applyFont="0" applyFill="0" applyBorder="0" applyAlignment="0" applyProtection="0"/>
    <xf numFmtId="9" fontId="10" fillId="0" borderId="0" applyFont="0" applyFill="0" applyBorder="0" applyAlignment="0" applyProtection="0"/>
    <xf numFmtId="0" fontId="10"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cellStyleXfs>
  <cellXfs count="412">
    <xf numFmtId="0" fontId="0" fillId="0" borderId="0" xfId="0"/>
    <xf numFmtId="0" fontId="11" fillId="0" borderId="0" xfId="0" applyFont="1" applyAlignment="1">
      <alignment horizontal="center"/>
    </xf>
    <xf numFmtId="0" fontId="11" fillId="0" borderId="0" xfId="0" applyFont="1"/>
    <xf numFmtId="0" fontId="17" fillId="4" borderId="0" xfId="4" applyFont="1" applyFill="1"/>
    <xf numFmtId="3" fontId="0" fillId="0" borderId="0" xfId="0" applyNumberFormat="1"/>
    <xf numFmtId="0" fontId="23" fillId="0" borderId="0" xfId="0" applyFont="1"/>
    <xf numFmtId="0" fontId="13" fillId="0" borderId="0" xfId="0" applyFont="1" applyAlignment="1">
      <alignment horizontal="center" vertical="center"/>
    </xf>
    <xf numFmtId="0" fontId="14" fillId="0" borderId="0" xfId="0" applyFont="1" applyAlignment="1">
      <alignment horizontal="center" vertical="center"/>
    </xf>
    <xf numFmtId="0" fontId="14" fillId="4" borderId="0" xfId="0" applyFont="1" applyFill="1" applyAlignment="1">
      <alignment horizontal="center" vertical="center"/>
    </xf>
    <xf numFmtId="0" fontId="19" fillId="4" borderId="0" xfId="0" applyFont="1" applyFill="1" applyAlignment="1">
      <alignment horizontal="center" vertical="center"/>
    </xf>
    <xf numFmtId="0" fontId="18" fillId="4" borderId="0" xfId="3" applyFont="1" applyFill="1" applyAlignment="1">
      <alignment vertical="center"/>
    </xf>
    <xf numFmtId="0" fontId="17" fillId="4" borderId="0" xfId="3" applyFont="1" applyFill="1"/>
    <xf numFmtId="3" fontId="17" fillId="0" borderId="0" xfId="4" applyNumberFormat="1" applyFont="1"/>
    <xf numFmtId="0" fontId="0" fillId="0" borderId="0" xfId="0" applyAlignment="1">
      <alignment vertical="center"/>
    </xf>
    <xf numFmtId="166" fontId="14" fillId="0" borderId="0" xfId="1" applyNumberFormat="1" applyFont="1" applyFill="1" applyBorder="1" applyAlignment="1" applyProtection="1">
      <alignment vertical="center"/>
    </xf>
    <xf numFmtId="0" fontId="19" fillId="4" borderId="0" xfId="0" applyFont="1" applyFill="1" applyAlignment="1">
      <alignment horizontal="left" vertical="center"/>
    </xf>
    <xf numFmtId="3" fontId="25" fillId="0" borderId="0" xfId="0" applyNumberFormat="1" applyFont="1"/>
    <xf numFmtId="0" fontId="26" fillId="0" borderId="0" xfId="0" applyFont="1" applyAlignment="1">
      <alignment horizontal="center"/>
    </xf>
    <xf numFmtId="165" fontId="14" fillId="0" borderId="0" xfId="0" applyNumberFormat="1" applyFont="1" applyAlignment="1">
      <alignment horizontal="right" vertical="center"/>
    </xf>
    <xf numFmtId="165" fontId="14" fillId="4" borderId="0" xfId="0" applyNumberFormat="1" applyFont="1" applyFill="1" applyAlignment="1">
      <alignment horizontal="right" vertical="center"/>
    </xf>
    <xf numFmtId="0" fontId="13" fillId="0" borderId="0" xfId="0" applyFont="1" applyAlignment="1">
      <alignment vertical="center"/>
    </xf>
    <xf numFmtId="165" fontId="13" fillId="0" borderId="0" xfId="0" applyNumberFormat="1" applyFont="1" applyAlignment="1">
      <alignment horizontal="right" vertical="center"/>
    </xf>
    <xf numFmtId="9" fontId="14" fillId="0" borderId="0" xfId="2" applyFont="1" applyFill="1" applyBorder="1" applyAlignment="1" applyProtection="1">
      <alignment vertical="center"/>
    </xf>
    <xf numFmtId="9" fontId="14" fillId="4" borderId="0" xfId="2" applyFont="1" applyFill="1" applyBorder="1" applyAlignment="1" applyProtection="1">
      <alignment vertical="center"/>
    </xf>
    <xf numFmtId="9" fontId="13" fillId="0" borderId="0" xfId="2" applyFont="1" applyFill="1" applyBorder="1" applyAlignment="1" applyProtection="1">
      <alignment vertical="center"/>
    </xf>
    <xf numFmtId="0" fontId="14" fillId="0" borderId="0" xfId="0" applyFont="1" applyAlignment="1">
      <alignment vertical="center"/>
    </xf>
    <xf numFmtId="165" fontId="19" fillId="4" borderId="0" xfId="0" applyNumberFormat="1" applyFont="1" applyFill="1" applyAlignment="1">
      <alignment horizontal="right" vertical="center"/>
    </xf>
    <xf numFmtId="167" fontId="13" fillId="0" borderId="0" xfId="1" applyNumberFormat="1" applyFont="1" applyFill="1" applyBorder="1" applyAlignment="1" applyProtection="1">
      <alignment vertical="center"/>
    </xf>
    <xf numFmtId="167" fontId="13" fillId="4" borderId="0" xfId="1" applyNumberFormat="1" applyFont="1" applyFill="1" applyBorder="1" applyAlignment="1" applyProtection="1">
      <alignment vertical="center"/>
    </xf>
    <xf numFmtId="0" fontId="0" fillId="4" borderId="0" xfId="0" applyFill="1" applyAlignment="1">
      <alignment vertical="center"/>
    </xf>
    <xf numFmtId="167" fontId="13" fillId="0" borderId="0" xfId="1" applyNumberFormat="1" applyFont="1" applyFill="1" applyBorder="1" applyProtection="1"/>
    <xf numFmtId="4" fontId="25" fillId="0" borderId="0" xfId="0" applyNumberFormat="1" applyFont="1"/>
    <xf numFmtId="0" fontId="18" fillId="4" borderId="0" xfId="3" applyFont="1" applyFill="1" applyAlignment="1">
      <alignment horizontal="left"/>
    </xf>
    <xf numFmtId="171" fontId="0" fillId="0" borderId="0" xfId="0" applyNumberFormat="1"/>
    <xf numFmtId="0" fontId="21" fillId="4" borderId="0" xfId="3" applyFont="1" applyFill="1" applyAlignment="1">
      <alignment horizontal="left" vertical="center"/>
    </xf>
    <xf numFmtId="0" fontId="12" fillId="4" borderId="0" xfId="0" applyFont="1" applyFill="1" applyAlignment="1">
      <alignment horizontal="center" vertical="center"/>
    </xf>
    <xf numFmtId="0" fontId="22" fillId="4" borderId="0" xfId="0" applyFont="1" applyFill="1" applyAlignment="1">
      <alignment horizontal="left"/>
    </xf>
    <xf numFmtId="0" fontId="0" fillId="4" borderId="0" xfId="0" applyFill="1" applyAlignment="1">
      <alignment horizontal="left" vertical="center"/>
    </xf>
    <xf numFmtId="2" fontId="19" fillId="4" borderId="0" xfId="0" applyNumberFormat="1" applyFont="1" applyFill="1" applyAlignment="1">
      <alignment horizontal="center" vertical="center"/>
    </xf>
    <xf numFmtId="0" fontId="19" fillId="4" borderId="0" xfId="0" applyFont="1" applyFill="1" applyAlignment="1">
      <alignment vertical="center"/>
    </xf>
    <xf numFmtId="165" fontId="19" fillId="4" borderId="0" xfId="0" applyNumberFormat="1" applyFont="1" applyFill="1" applyAlignment="1">
      <alignment vertical="center"/>
    </xf>
    <xf numFmtId="165" fontId="19" fillId="4" borderId="0" xfId="0" applyNumberFormat="1" applyFont="1" applyFill="1" applyAlignment="1">
      <alignment horizontal="center" vertical="center"/>
    </xf>
    <xf numFmtId="0" fontId="19" fillId="4" borderId="0" xfId="0" applyFont="1" applyFill="1" applyAlignment="1">
      <alignment horizontal="center" vertical="center" wrapText="1"/>
    </xf>
    <xf numFmtId="0" fontId="22" fillId="4" borderId="0" xfId="0" applyFont="1" applyFill="1" applyAlignment="1">
      <alignment horizontal="center" vertical="center" wrapText="1"/>
    </xf>
    <xf numFmtId="0" fontId="22" fillId="4" borderId="0" xfId="0" applyFont="1" applyFill="1" applyAlignment="1">
      <alignment vertical="center" wrapText="1"/>
    </xf>
    <xf numFmtId="0" fontId="0" fillId="4" borderId="0" xfId="0" applyFill="1"/>
    <xf numFmtId="169" fontId="19" fillId="4" borderId="0" xfId="0" applyNumberFormat="1" applyFont="1" applyFill="1" applyAlignment="1">
      <alignment horizontal="center" vertical="center" wrapText="1"/>
    </xf>
    <xf numFmtId="165" fontId="19" fillId="4" borderId="0" xfId="0" applyNumberFormat="1" applyFont="1" applyFill="1" applyAlignment="1">
      <alignment vertical="center" wrapText="1"/>
    </xf>
    <xf numFmtId="165" fontId="19" fillId="4" borderId="0" xfId="0" applyNumberFormat="1" applyFont="1" applyFill="1" applyAlignment="1">
      <alignment horizontal="center" vertical="center" wrapText="1"/>
    </xf>
    <xf numFmtId="169" fontId="0" fillId="0" borderId="0" xfId="0" applyNumberFormat="1"/>
    <xf numFmtId="171" fontId="19" fillId="4" borderId="0" xfId="0" applyNumberFormat="1" applyFont="1" applyFill="1" applyAlignment="1">
      <alignment horizontal="center" vertical="center" wrapText="1"/>
    </xf>
    <xf numFmtId="0" fontId="28" fillId="4" borderId="0" xfId="0" applyFont="1" applyFill="1"/>
    <xf numFmtId="0" fontId="24" fillId="4" borderId="0" xfId="0" applyFont="1" applyFill="1" applyAlignment="1">
      <alignment horizontal="right" vertical="center" wrapText="1"/>
    </xf>
    <xf numFmtId="3" fontId="29" fillId="4" borderId="0" xfId="2" applyNumberFormat="1" applyFont="1" applyFill="1" applyBorder="1" applyAlignment="1" applyProtection="1">
      <alignment horizontal="right" vertical="center" wrapText="1"/>
    </xf>
    <xf numFmtId="3" fontId="29" fillId="4" borderId="0" xfId="0" applyNumberFormat="1" applyFont="1" applyFill="1" applyAlignment="1">
      <alignment horizontal="right" vertical="center" wrapText="1"/>
    </xf>
    <xf numFmtId="3" fontId="29" fillId="4" borderId="0" xfId="2" applyNumberFormat="1" applyFont="1" applyFill="1" applyBorder="1" applyAlignment="1">
      <alignment horizontal="right" vertical="center" wrapText="1"/>
    </xf>
    <xf numFmtId="0" fontId="28" fillId="0" borderId="0" xfId="0" applyFont="1"/>
    <xf numFmtId="169" fontId="28" fillId="0" borderId="0" xfId="0" applyNumberFormat="1" applyFont="1"/>
    <xf numFmtId="0" fontId="28" fillId="0" borderId="0" xfId="0" applyFont="1" applyAlignment="1">
      <alignment horizontal="right"/>
    </xf>
    <xf numFmtId="0" fontId="13" fillId="4" borderId="0" xfId="0" applyFont="1" applyFill="1" applyAlignment="1">
      <alignment horizontal="center" vertical="center"/>
    </xf>
    <xf numFmtId="1" fontId="0" fillId="0" borderId="0" xfId="0" applyNumberFormat="1"/>
    <xf numFmtId="171" fontId="24" fillId="4" borderId="0" xfId="0" applyNumberFormat="1" applyFont="1" applyFill="1" applyAlignment="1">
      <alignment horizontal="right" vertical="center" wrapText="1"/>
    </xf>
    <xf numFmtId="3" fontId="22" fillId="4" borderId="0" xfId="0" applyNumberFormat="1" applyFont="1" applyFill="1" applyAlignment="1">
      <alignment vertical="center"/>
    </xf>
    <xf numFmtId="2" fontId="19" fillId="4" borderId="0" xfId="0" applyNumberFormat="1" applyFont="1" applyFill="1" applyAlignment="1">
      <alignment horizontal="center" vertical="center" wrapText="1"/>
    </xf>
    <xf numFmtId="0" fontId="18" fillId="4" borderId="0" xfId="3" applyFont="1" applyFill="1" applyAlignment="1">
      <alignment horizontal="left" vertical="center"/>
    </xf>
    <xf numFmtId="3" fontId="24" fillId="4" borderId="0" xfId="0" applyNumberFormat="1" applyFont="1" applyFill="1" applyAlignment="1">
      <alignment horizontal="right" vertical="center" wrapText="1"/>
    </xf>
    <xf numFmtId="3" fontId="24" fillId="4" borderId="0" xfId="0" applyNumberFormat="1" applyFont="1" applyFill="1" applyAlignment="1">
      <alignment vertical="center" wrapText="1"/>
    </xf>
    <xf numFmtId="167" fontId="32" fillId="0" borderId="0" xfId="1" applyNumberFormat="1" applyFont="1" applyFill="1" applyBorder="1" applyAlignment="1" applyProtection="1">
      <alignment vertical="center"/>
    </xf>
    <xf numFmtId="0" fontId="23" fillId="4" borderId="0" xfId="0" applyFont="1" applyFill="1"/>
    <xf numFmtId="0" fontId="21" fillId="4" borderId="0" xfId="3" applyFont="1" applyFill="1" applyAlignment="1">
      <alignment horizontal="left" vertical="center" wrapText="1"/>
    </xf>
    <xf numFmtId="0" fontId="18" fillId="4" borderId="0" xfId="3" applyFont="1" applyFill="1" applyAlignment="1">
      <alignment horizontal="left" vertical="center" wrapText="1"/>
    </xf>
    <xf numFmtId="3" fontId="28" fillId="0" borderId="0" xfId="0" applyNumberFormat="1" applyFont="1"/>
    <xf numFmtId="176" fontId="0" fillId="0" borderId="0" xfId="0" applyNumberFormat="1"/>
    <xf numFmtId="2" fontId="0" fillId="0" borderId="0" xfId="0" applyNumberFormat="1"/>
    <xf numFmtId="10" fontId="36" fillId="0" borderId="0" xfId="0" applyNumberFormat="1" applyFont="1"/>
    <xf numFmtId="0" fontId="34" fillId="0" borderId="0" xfId="0" applyFont="1"/>
    <xf numFmtId="3" fontId="38" fillId="0" borderId="0" xfId="0" applyNumberFormat="1" applyFont="1"/>
    <xf numFmtId="0" fontId="38" fillId="0" borderId="0" xfId="0" applyFont="1"/>
    <xf numFmtId="4" fontId="0" fillId="0" borderId="0" xfId="0" applyNumberFormat="1"/>
    <xf numFmtId="173" fontId="0" fillId="0" borderId="0" xfId="0" applyNumberFormat="1"/>
    <xf numFmtId="0" fontId="22" fillId="2" borderId="0" xfId="0" applyFont="1" applyFill="1" applyAlignment="1">
      <alignment horizontal="center" vertical="center" wrapText="1"/>
    </xf>
    <xf numFmtId="0" fontId="19" fillId="2" borderId="0" xfId="0" applyFont="1" applyFill="1" applyAlignment="1">
      <alignment horizontal="left" vertical="center"/>
    </xf>
    <xf numFmtId="0" fontId="14" fillId="4" borderId="0" xfId="0" applyFont="1" applyFill="1" applyAlignment="1">
      <alignment vertical="center"/>
    </xf>
    <xf numFmtId="0" fontId="13" fillId="4" borderId="0" xfId="0" applyFont="1" applyFill="1" applyAlignment="1">
      <alignment vertical="center"/>
    </xf>
    <xf numFmtId="3" fontId="35" fillId="0" borderId="0" xfId="0" applyNumberFormat="1" applyFont="1" applyAlignment="1">
      <alignment horizontal="center" vertical="center" wrapText="1"/>
    </xf>
    <xf numFmtId="175" fontId="0" fillId="0" borderId="0" xfId="0" applyNumberFormat="1"/>
    <xf numFmtId="9" fontId="0" fillId="0" borderId="0" xfId="2" applyFont="1"/>
    <xf numFmtId="3" fontId="35" fillId="0" borderId="0" xfId="0" applyNumberFormat="1" applyFont="1" applyAlignment="1">
      <alignment vertical="center" wrapText="1"/>
    </xf>
    <xf numFmtId="0" fontId="19" fillId="6" borderId="0" xfId="0" applyFont="1" applyFill="1" applyAlignment="1">
      <alignment horizontal="left" vertical="center"/>
    </xf>
    <xf numFmtId="0" fontId="19" fillId="6" borderId="0" xfId="0" applyFont="1" applyFill="1" applyAlignment="1">
      <alignment horizontal="center" vertical="center"/>
    </xf>
    <xf numFmtId="0" fontId="19" fillId="6" borderId="0" xfId="0" applyFont="1" applyFill="1" applyAlignment="1">
      <alignment vertical="center"/>
    </xf>
    <xf numFmtId="0" fontId="19" fillId="6" borderId="0" xfId="0" applyFont="1" applyFill="1" applyAlignment="1">
      <alignment horizontal="left" vertical="center" wrapText="1"/>
    </xf>
    <xf numFmtId="0" fontId="20" fillId="6" borderId="0" xfId="0" applyFont="1" applyFill="1" applyAlignment="1">
      <alignment horizontal="right" vertical="center" wrapText="1"/>
    </xf>
    <xf numFmtId="0" fontId="40" fillId="6" borderId="0" xfId="0" applyFont="1" applyFill="1" applyAlignment="1">
      <alignment vertical="center"/>
    </xf>
    <xf numFmtId="0" fontId="40" fillId="6" borderId="0" xfId="0" applyFont="1" applyFill="1" applyAlignment="1">
      <alignment horizontal="center" vertical="center"/>
    </xf>
    <xf numFmtId="0" fontId="14" fillId="6" borderId="0" xfId="0" applyFont="1" applyFill="1" applyAlignment="1">
      <alignment vertical="center"/>
    </xf>
    <xf numFmtId="0" fontId="14" fillId="6" borderId="0" xfId="0" applyFont="1" applyFill="1" applyAlignment="1">
      <alignment horizontal="center" vertical="center"/>
    </xf>
    <xf numFmtId="0" fontId="13" fillId="6" borderId="0" xfId="0" applyFont="1" applyFill="1" applyAlignment="1">
      <alignment vertical="center"/>
    </xf>
    <xf numFmtId="0" fontId="13" fillId="6" borderId="0" xfId="0" applyFont="1" applyFill="1" applyAlignment="1">
      <alignment horizontal="center" vertical="center"/>
    </xf>
    <xf numFmtId="0" fontId="19" fillId="6" borderId="0" xfId="0" applyFont="1" applyFill="1" applyAlignment="1">
      <alignment horizontal="right" vertical="center"/>
    </xf>
    <xf numFmtId="178" fontId="0" fillId="0" borderId="0" xfId="0" applyNumberFormat="1"/>
    <xf numFmtId="3" fontId="19" fillId="6" borderId="5" xfId="2" applyNumberFormat="1" applyFont="1" applyFill="1" applyBorder="1" applyAlignment="1" applyProtection="1">
      <alignment horizontal="right" vertical="center"/>
    </xf>
    <xf numFmtId="0" fontId="13" fillId="5" borderId="0" xfId="0" applyFont="1" applyFill="1" applyAlignment="1">
      <alignment horizontal="left" vertical="center" wrapText="1"/>
    </xf>
    <xf numFmtId="0" fontId="19" fillId="5" borderId="0" xfId="0" applyFont="1" applyFill="1" applyAlignment="1">
      <alignment horizontal="center" vertical="center"/>
    </xf>
    <xf numFmtId="3" fontId="41" fillId="5" borderId="5" xfId="2" applyNumberFormat="1" applyFont="1" applyFill="1" applyBorder="1" applyAlignment="1" applyProtection="1">
      <alignment horizontal="right" vertical="center"/>
    </xf>
    <xf numFmtId="3" fontId="19" fillId="7" borderId="5" xfId="2" applyNumberFormat="1" applyFont="1" applyFill="1" applyBorder="1" applyAlignment="1" applyProtection="1">
      <alignment horizontal="right" vertical="center"/>
      <protection locked="0"/>
    </xf>
    <xf numFmtId="3" fontId="14" fillId="6" borderId="5" xfId="2" applyNumberFormat="1" applyFont="1" applyFill="1" applyBorder="1" applyAlignment="1" applyProtection="1">
      <alignment horizontal="right" vertical="center"/>
    </xf>
    <xf numFmtId="3" fontId="42" fillId="6" borderId="5" xfId="2" applyNumberFormat="1" applyFont="1" applyFill="1" applyBorder="1" applyAlignment="1" applyProtection="1">
      <alignment horizontal="right" vertical="center"/>
      <protection hidden="1"/>
    </xf>
    <xf numFmtId="3" fontId="42" fillId="7" borderId="5" xfId="2" applyNumberFormat="1" applyFont="1" applyFill="1" applyBorder="1" applyAlignment="1" applyProtection="1">
      <alignment horizontal="right" vertical="center"/>
      <protection locked="0"/>
    </xf>
    <xf numFmtId="3" fontId="43" fillId="7" borderId="5" xfId="2" applyNumberFormat="1" applyFont="1" applyFill="1" applyBorder="1" applyAlignment="1" applyProtection="1">
      <alignment horizontal="right" vertical="center"/>
      <protection locked="0"/>
    </xf>
    <xf numFmtId="3" fontId="44" fillId="6" borderId="5" xfId="2" applyNumberFormat="1" applyFont="1" applyFill="1" applyBorder="1" applyAlignment="1" applyProtection="1">
      <alignment horizontal="right" vertical="center"/>
      <protection hidden="1"/>
    </xf>
    <xf numFmtId="3" fontId="44" fillId="7" borderId="5" xfId="2" applyNumberFormat="1" applyFont="1" applyFill="1" applyBorder="1" applyAlignment="1" applyProtection="1">
      <alignment horizontal="right" vertical="center"/>
      <protection locked="0"/>
    </xf>
    <xf numFmtId="10" fontId="43" fillId="7" borderId="5" xfId="2" applyNumberFormat="1" applyFont="1" applyFill="1" applyBorder="1" applyAlignment="1" applyProtection="1">
      <alignment horizontal="right" vertical="center"/>
      <protection locked="0"/>
    </xf>
    <xf numFmtId="168" fontId="44" fillId="6" borderId="5" xfId="2" applyNumberFormat="1" applyFont="1" applyFill="1" applyBorder="1" applyAlignment="1" applyProtection="1">
      <alignment horizontal="right" vertical="center"/>
      <protection hidden="1"/>
    </xf>
    <xf numFmtId="3" fontId="46" fillId="6" borderId="5" xfId="2" applyNumberFormat="1" applyFont="1" applyFill="1" applyBorder="1" applyAlignment="1" applyProtection="1">
      <alignment horizontal="right" vertical="center"/>
      <protection hidden="1"/>
    </xf>
    <xf numFmtId="3" fontId="46" fillId="7" borderId="5" xfId="2" applyNumberFormat="1" applyFont="1" applyFill="1" applyBorder="1" applyAlignment="1" applyProtection="1">
      <alignment horizontal="right" vertical="center"/>
      <protection locked="0"/>
    </xf>
    <xf numFmtId="3" fontId="48" fillId="6" borderId="5" xfId="2" applyNumberFormat="1" applyFont="1" applyFill="1" applyBorder="1" applyAlignment="1" applyProtection="1">
      <alignment horizontal="right" vertical="center"/>
      <protection hidden="1"/>
    </xf>
    <xf numFmtId="3" fontId="46" fillId="6" borderId="5" xfId="2" applyNumberFormat="1" applyFont="1" applyFill="1" applyBorder="1" applyAlignment="1" applyProtection="1">
      <alignment horizontal="right" vertical="center"/>
      <protection locked="0"/>
    </xf>
    <xf numFmtId="3" fontId="41" fillId="6" borderId="5" xfId="2" applyNumberFormat="1" applyFont="1" applyFill="1" applyBorder="1" applyAlignment="1" applyProtection="1">
      <alignment horizontal="right" vertical="center"/>
      <protection hidden="1"/>
    </xf>
    <xf numFmtId="3" fontId="48" fillId="6" borderId="5" xfId="2" applyNumberFormat="1" applyFont="1" applyFill="1" applyBorder="1" applyAlignment="1" applyProtection="1">
      <alignment horizontal="right"/>
      <protection hidden="1"/>
    </xf>
    <xf numFmtId="3" fontId="44" fillId="6" borderId="5" xfId="2" applyNumberFormat="1" applyFont="1" applyFill="1" applyBorder="1" applyAlignment="1" applyProtection="1">
      <alignment horizontal="right" vertical="center"/>
    </xf>
    <xf numFmtId="3" fontId="44" fillId="6" borderId="0" xfId="2" applyNumberFormat="1" applyFont="1" applyFill="1" applyBorder="1" applyAlignment="1" applyProtection="1">
      <alignment horizontal="right" vertical="center"/>
    </xf>
    <xf numFmtId="0" fontId="13" fillId="5" borderId="0" xfId="0" applyFont="1" applyFill="1" applyAlignment="1">
      <alignment vertical="center"/>
    </xf>
    <xf numFmtId="0" fontId="13" fillId="5" borderId="0" xfId="0" applyFont="1" applyFill="1" applyAlignment="1">
      <alignment horizontal="center" vertical="center"/>
    </xf>
    <xf numFmtId="0" fontId="13" fillId="5" borderId="0" xfId="0" applyFont="1" applyFill="1" applyAlignment="1">
      <alignment horizontal="left" vertical="center"/>
    </xf>
    <xf numFmtId="165" fontId="13" fillId="5" borderId="5" xfId="0" applyNumberFormat="1" applyFont="1" applyFill="1" applyBorder="1" applyAlignment="1">
      <alignment horizontal="right" vertical="center"/>
    </xf>
    <xf numFmtId="10" fontId="14" fillId="6" borderId="5" xfId="2" applyNumberFormat="1" applyFont="1" applyFill="1" applyBorder="1" applyAlignment="1" applyProtection="1">
      <alignment horizontal="right" vertical="center"/>
    </xf>
    <xf numFmtId="0" fontId="24" fillId="5" borderId="5" xfId="0" applyFont="1" applyFill="1" applyBorder="1" applyAlignment="1">
      <alignment horizontal="right" vertical="center" wrapText="1"/>
    </xf>
    <xf numFmtId="9" fontId="14" fillId="3" borderId="5" xfId="2" applyFont="1" applyFill="1" applyBorder="1" applyAlignment="1" applyProtection="1">
      <alignment horizontal="right" vertical="center"/>
    </xf>
    <xf numFmtId="174" fontId="13" fillId="5" borderId="5" xfId="0" applyNumberFormat="1" applyFont="1" applyFill="1" applyBorder="1" applyAlignment="1">
      <alignment horizontal="right" vertical="center"/>
    </xf>
    <xf numFmtId="3" fontId="22" fillId="6" borderId="5" xfId="2" applyNumberFormat="1" applyFont="1" applyFill="1" applyBorder="1" applyAlignment="1" applyProtection="1">
      <alignment horizontal="right" vertical="center"/>
    </xf>
    <xf numFmtId="3" fontId="22" fillId="6" borderId="5" xfId="2" applyNumberFormat="1" applyFont="1" applyFill="1" applyBorder="1" applyAlignment="1" applyProtection="1">
      <alignment horizontal="right" vertical="center" wrapText="1"/>
    </xf>
    <xf numFmtId="3" fontId="14" fillId="6" borderId="5" xfId="2" applyNumberFormat="1" applyFont="1" applyFill="1" applyBorder="1" applyAlignment="1" applyProtection="1">
      <alignment horizontal="right" vertical="center" wrapText="1"/>
    </xf>
    <xf numFmtId="10" fontId="14" fillId="7" borderId="5" xfId="2" applyNumberFormat="1" applyFont="1" applyFill="1" applyBorder="1" applyAlignment="1" applyProtection="1">
      <alignment horizontal="right" vertical="center"/>
      <protection locked="0"/>
    </xf>
    <xf numFmtId="9" fontId="14" fillId="7" borderId="5" xfId="2" applyFont="1" applyFill="1" applyBorder="1" applyAlignment="1" applyProtection="1">
      <alignment horizontal="right" vertical="center"/>
      <protection locked="0"/>
    </xf>
    <xf numFmtId="3" fontId="14" fillId="7" borderId="5" xfId="2" applyNumberFormat="1" applyFont="1" applyFill="1" applyBorder="1" applyAlignment="1" applyProtection="1">
      <alignment horizontal="right" vertical="center"/>
      <protection locked="0"/>
    </xf>
    <xf numFmtId="3" fontId="14" fillId="7" borderId="5" xfId="2" applyNumberFormat="1" applyFont="1" applyFill="1" applyBorder="1" applyAlignment="1" applyProtection="1">
      <alignment horizontal="right" vertical="center" wrapText="1"/>
      <protection locked="0"/>
    </xf>
    <xf numFmtId="2" fontId="43" fillId="5" borderId="0" xfId="2" applyNumberFormat="1" applyFont="1" applyFill="1" applyBorder="1" applyAlignment="1" applyProtection="1">
      <alignment horizontal="right" vertical="center"/>
    </xf>
    <xf numFmtId="0" fontId="19" fillId="6" borderId="5" xfId="0" applyFont="1" applyFill="1" applyBorder="1" applyAlignment="1">
      <alignment horizontal="center" vertical="center"/>
    </xf>
    <xf numFmtId="0" fontId="19" fillId="6" borderId="5" xfId="0" applyFont="1" applyFill="1" applyBorder="1" applyAlignment="1">
      <alignment horizontal="center" vertical="center" wrapText="1"/>
    </xf>
    <xf numFmtId="0" fontId="51" fillId="8" borderId="0" xfId="0" applyFont="1" applyFill="1"/>
    <xf numFmtId="2" fontId="19" fillId="6" borderId="5" xfId="0" applyNumberFormat="1" applyFont="1" applyFill="1" applyBorder="1" applyAlignment="1">
      <alignment horizontal="center" vertical="center" wrapText="1"/>
    </xf>
    <xf numFmtId="10" fontId="19" fillId="6" borderId="5" xfId="2" applyNumberFormat="1" applyFont="1" applyFill="1" applyBorder="1" applyAlignment="1" applyProtection="1">
      <alignment horizontal="center" vertical="center" wrapText="1"/>
    </xf>
    <xf numFmtId="9" fontId="19" fillId="6" borderId="5" xfId="2" applyFont="1" applyFill="1" applyBorder="1" applyAlignment="1" applyProtection="1">
      <alignment horizontal="center" vertical="center" wrapText="1"/>
    </xf>
    <xf numFmtId="10" fontId="19" fillId="6" borderId="10" xfId="2" applyNumberFormat="1" applyFont="1" applyFill="1" applyBorder="1" applyAlignment="1" applyProtection="1">
      <alignment horizontal="center" vertical="center" wrapText="1"/>
    </xf>
    <xf numFmtId="2" fontId="19" fillId="6" borderId="10" xfId="0" applyNumberFormat="1" applyFont="1" applyFill="1" applyBorder="1" applyAlignment="1">
      <alignment horizontal="center" vertical="center" wrapText="1"/>
    </xf>
    <xf numFmtId="9" fontId="19" fillId="6" borderId="10" xfId="2" applyFont="1" applyFill="1" applyBorder="1" applyAlignment="1" applyProtection="1">
      <alignment horizontal="center" vertical="center" wrapText="1"/>
    </xf>
    <xf numFmtId="10" fontId="19" fillId="6" borderId="7" xfId="2" applyNumberFormat="1" applyFont="1" applyFill="1" applyBorder="1" applyAlignment="1" applyProtection="1">
      <alignment horizontal="center" vertical="center" wrapText="1"/>
    </xf>
    <xf numFmtId="2" fontId="19" fillId="6" borderId="7" xfId="0" applyNumberFormat="1" applyFont="1" applyFill="1" applyBorder="1" applyAlignment="1">
      <alignment horizontal="center" vertical="center" wrapText="1"/>
    </xf>
    <xf numFmtId="10" fontId="19" fillId="6" borderId="9" xfId="2" applyNumberFormat="1" applyFont="1" applyFill="1" applyBorder="1" applyAlignment="1" applyProtection="1">
      <alignment horizontal="center" vertical="center" wrapText="1"/>
    </xf>
    <xf numFmtId="2" fontId="19" fillId="6" borderId="9" xfId="0" applyNumberFormat="1" applyFont="1" applyFill="1" applyBorder="1" applyAlignment="1">
      <alignment horizontal="center" vertical="center" wrapText="1"/>
    </xf>
    <xf numFmtId="9" fontId="19" fillId="6" borderId="9" xfId="2" applyFont="1" applyFill="1" applyBorder="1" applyAlignment="1" applyProtection="1">
      <alignment horizontal="center" vertical="center" wrapText="1"/>
    </xf>
    <xf numFmtId="2" fontId="19" fillId="6" borderId="14" xfId="0" applyNumberFormat="1" applyFont="1" applyFill="1" applyBorder="1" applyAlignment="1">
      <alignment horizontal="center" vertical="center" wrapText="1"/>
    </xf>
    <xf numFmtId="2" fontId="19" fillId="6" borderId="11" xfId="0" applyNumberFormat="1" applyFont="1" applyFill="1" applyBorder="1" applyAlignment="1">
      <alignment horizontal="center" vertical="center" wrapText="1"/>
    </xf>
    <xf numFmtId="2" fontId="19" fillId="6" borderId="12" xfId="0" applyNumberFormat="1" applyFont="1" applyFill="1" applyBorder="1" applyAlignment="1">
      <alignment horizontal="center" vertical="center" wrapText="1"/>
    </xf>
    <xf numFmtId="2" fontId="19" fillId="6" borderId="13" xfId="0" applyNumberFormat="1" applyFont="1" applyFill="1" applyBorder="1" applyAlignment="1">
      <alignment horizontal="center" vertical="center" wrapText="1"/>
    </xf>
    <xf numFmtId="165" fontId="19" fillId="2" borderId="5" xfId="0" applyNumberFormat="1" applyFont="1" applyFill="1" applyBorder="1" applyAlignment="1">
      <alignment horizontal="center" vertical="center" wrapText="1"/>
    </xf>
    <xf numFmtId="173" fontId="19" fillId="7" borderId="5" xfId="0" applyNumberFormat="1" applyFont="1" applyFill="1" applyBorder="1" applyAlignment="1">
      <alignment horizontal="center" vertical="center" wrapText="1"/>
    </xf>
    <xf numFmtId="4" fontId="19" fillId="9" borderId="5" xfId="0" applyNumberFormat="1" applyFont="1" applyFill="1" applyBorder="1" applyAlignment="1">
      <alignment horizontal="center" vertical="center" wrapText="1"/>
    </xf>
    <xf numFmtId="172" fontId="19" fillId="9" borderId="10" xfId="0" applyNumberFormat="1" applyFont="1" applyFill="1" applyBorder="1" applyAlignment="1">
      <alignment horizontal="center" vertical="center" wrapText="1"/>
    </xf>
    <xf numFmtId="172" fontId="19" fillId="9" borderId="12" xfId="0" applyNumberFormat="1" applyFont="1" applyFill="1" applyBorder="1" applyAlignment="1">
      <alignment horizontal="center" vertical="center" wrapText="1"/>
    </xf>
    <xf numFmtId="3" fontId="19" fillId="6" borderId="5" xfId="0" applyNumberFormat="1" applyFont="1" applyFill="1" applyBorder="1" applyAlignment="1">
      <alignment horizontal="center" vertical="center" wrapText="1"/>
    </xf>
    <xf numFmtId="169" fontId="19" fillId="6" borderId="5" xfId="0" applyNumberFormat="1" applyFont="1" applyFill="1" applyBorder="1" applyAlignment="1">
      <alignment horizontal="center" vertical="center" wrapText="1"/>
    </xf>
    <xf numFmtId="169" fontId="19" fillId="6" borderId="0" xfId="0" applyNumberFormat="1" applyFont="1" applyFill="1" applyAlignment="1">
      <alignment horizontal="center" vertical="center" wrapText="1"/>
    </xf>
    <xf numFmtId="4" fontId="19" fillId="6" borderId="5" xfId="0" applyNumberFormat="1" applyFont="1" applyFill="1" applyBorder="1" applyAlignment="1">
      <alignment horizontal="center" vertical="center" wrapText="1"/>
    </xf>
    <xf numFmtId="165" fontId="19" fillId="10" borderId="5" xfId="0" applyNumberFormat="1" applyFont="1" applyFill="1" applyBorder="1" applyAlignment="1">
      <alignment horizontal="center" vertical="center" wrapText="1"/>
    </xf>
    <xf numFmtId="0" fontId="22" fillId="10" borderId="0" xfId="0" applyFont="1" applyFill="1" applyAlignment="1">
      <alignment horizontal="left"/>
    </xf>
    <xf numFmtId="0" fontId="22" fillId="10" borderId="0" xfId="0" applyFont="1" applyFill="1" applyAlignment="1">
      <alignment vertical="center"/>
    </xf>
    <xf numFmtId="2" fontId="27" fillId="10" borderId="0" xfId="0" applyNumberFormat="1" applyFont="1" applyFill="1" applyAlignment="1">
      <alignment horizontal="left"/>
    </xf>
    <xf numFmtId="2" fontId="22" fillId="10" borderId="0" xfId="0" applyNumberFormat="1" applyFont="1" applyFill="1" applyAlignment="1">
      <alignment horizontal="left"/>
    </xf>
    <xf numFmtId="0" fontId="22" fillId="10" borderId="0" xfId="0" applyFont="1" applyFill="1" applyAlignment="1">
      <alignment horizontal="center" vertical="center" wrapText="1"/>
    </xf>
    <xf numFmtId="2" fontId="22" fillId="10" borderId="0" xfId="0" applyNumberFormat="1" applyFont="1" applyFill="1" applyAlignment="1">
      <alignment horizontal="center" vertical="center" wrapText="1"/>
    </xf>
    <xf numFmtId="0" fontId="0" fillId="10" borderId="0" xfId="0" applyFill="1" applyAlignment="1">
      <alignment horizontal="center" vertical="center" wrapText="1"/>
    </xf>
    <xf numFmtId="165" fontId="19" fillId="10" borderId="9" xfId="0" applyNumberFormat="1" applyFont="1" applyFill="1" applyBorder="1" applyAlignment="1">
      <alignment horizontal="center" vertical="center" wrapText="1"/>
    </xf>
    <xf numFmtId="165" fontId="19" fillId="10" borderId="7" xfId="0" applyNumberFormat="1" applyFont="1" applyFill="1" applyBorder="1" applyAlignment="1">
      <alignment horizontal="center" vertical="center" wrapText="1"/>
    </xf>
    <xf numFmtId="0" fontId="19" fillId="7" borderId="5" xfId="0" applyFont="1" applyFill="1" applyBorder="1" applyAlignment="1">
      <alignment horizontal="center" vertical="center" wrapText="1"/>
    </xf>
    <xf numFmtId="0" fontId="54" fillId="4" borderId="0" xfId="0" applyFont="1" applyFill="1"/>
    <xf numFmtId="0" fontId="55" fillId="4" borderId="0" xfId="0" applyFont="1" applyFill="1"/>
    <xf numFmtId="0" fontId="0" fillId="9" borderId="0" xfId="0" applyFill="1"/>
    <xf numFmtId="4" fontId="25" fillId="6" borderId="0" xfId="0" applyNumberFormat="1" applyFont="1" applyFill="1"/>
    <xf numFmtId="4" fontId="25" fillId="5" borderId="0" xfId="0" applyNumberFormat="1" applyFont="1" applyFill="1"/>
    <xf numFmtId="3" fontId="57" fillId="7" borderId="17" xfId="2" applyNumberFormat="1" applyFont="1" applyFill="1" applyBorder="1" applyAlignment="1" applyProtection="1">
      <alignment horizontal="center" vertical="center"/>
      <protection locked="0"/>
    </xf>
    <xf numFmtId="3" fontId="58" fillId="0" borderId="0" xfId="4" applyNumberFormat="1" applyFont="1" applyAlignment="1">
      <alignment horizontal="center"/>
    </xf>
    <xf numFmtId="165" fontId="19" fillId="10" borderId="10" xfId="0" applyNumberFormat="1" applyFont="1" applyFill="1" applyBorder="1" applyAlignment="1">
      <alignment horizontal="center" vertical="center" wrapText="1"/>
    </xf>
    <xf numFmtId="2" fontId="19" fillId="7" borderId="5" xfId="0" applyNumberFormat="1" applyFont="1" applyFill="1" applyBorder="1" applyAlignment="1">
      <alignment horizontal="center" vertical="center" wrapText="1"/>
    </xf>
    <xf numFmtId="3" fontId="19" fillId="7" borderId="5" xfId="0" applyNumberFormat="1" applyFont="1" applyFill="1" applyBorder="1" applyAlignment="1">
      <alignment horizontal="center" vertical="center" wrapText="1"/>
    </xf>
    <xf numFmtId="2" fontId="19" fillId="9" borderId="5" xfId="0" applyNumberFormat="1" applyFont="1" applyFill="1" applyBorder="1" applyAlignment="1">
      <alignment horizontal="center" vertical="center" wrapText="1"/>
    </xf>
    <xf numFmtId="165" fontId="0" fillId="0" borderId="0" xfId="0" applyNumberFormat="1"/>
    <xf numFmtId="0" fontId="0" fillId="0" borderId="0" xfId="0" applyAlignment="1">
      <alignment horizontal="center"/>
    </xf>
    <xf numFmtId="0" fontId="20" fillId="6" borderId="21" xfId="0" applyFont="1" applyFill="1" applyBorder="1" applyAlignment="1">
      <alignment horizontal="right" vertical="center"/>
    </xf>
    <xf numFmtId="0" fontId="19" fillId="6" borderId="21" xfId="0" applyFont="1" applyFill="1" applyBorder="1" applyAlignment="1">
      <alignment vertical="center"/>
    </xf>
    <xf numFmtId="9" fontId="19" fillId="6" borderId="22" xfId="2" applyFont="1" applyFill="1" applyBorder="1" applyAlignment="1" applyProtection="1">
      <alignment horizontal="center" vertical="center" wrapText="1"/>
    </xf>
    <xf numFmtId="0" fontId="19" fillId="6" borderId="23" xfId="0" applyFont="1" applyFill="1" applyBorder="1" applyAlignment="1">
      <alignment vertical="center"/>
    </xf>
    <xf numFmtId="9" fontId="19" fillId="6" borderId="24" xfId="2" applyFont="1" applyFill="1" applyBorder="1" applyAlignment="1" applyProtection="1">
      <alignment horizontal="center" vertical="center" wrapText="1"/>
    </xf>
    <xf numFmtId="9" fontId="19" fillId="6" borderId="25" xfId="2" applyFont="1" applyFill="1" applyBorder="1" applyAlignment="1" applyProtection="1">
      <alignment horizontal="center" vertical="center" wrapText="1"/>
    </xf>
    <xf numFmtId="9" fontId="19" fillId="6" borderId="26" xfId="2" applyFont="1" applyFill="1" applyBorder="1" applyAlignment="1" applyProtection="1">
      <alignment horizontal="center" vertical="center" wrapText="1"/>
    </xf>
    <xf numFmtId="2" fontId="19" fillId="6" borderId="16" xfId="0" applyNumberFormat="1" applyFont="1" applyFill="1" applyBorder="1" applyAlignment="1">
      <alignment horizontal="center" vertical="center" wrapText="1"/>
    </xf>
    <xf numFmtId="2" fontId="19" fillId="6" borderId="8" xfId="0" applyNumberFormat="1" applyFont="1" applyFill="1" applyBorder="1" applyAlignment="1">
      <alignment horizontal="center" vertical="center" wrapText="1"/>
    </xf>
    <xf numFmtId="2" fontId="19" fillId="6" borderId="15" xfId="0" applyNumberFormat="1" applyFont="1" applyFill="1" applyBorder="1" applyAlignment="1">
      <alignment horizontal="center" vertical="center" wrapText="1"/>
    </xf>
    <xf numFmtId="10" fontId="0" fillId="0" borderId="0" xfId="0" applyNumberFormat="1"/>
    <xf numFmtId="10" fontId="19" fillId="6" borderId="22" xfId="2" applyNumberFormat="1" applyFont="1" applyFill="1" applyBorder="1" applyAlignment="1" applyProtection="1">
      <alignment horizontal="center" vertical="center" wrapText="1"/>
    </xf>
    <xf numFmtId="2" fontId="19" fillId="6" borderId="22" xfId="0" applyNumberFormat="1" applyFont="1" applyFill="1" applyBorder="1" applyAlignment="1">
      <alignment horizontal="center" vertical="center" wrapText="1"/>
    </xf>
    <xf numFmtId="2" fontId="19" fillId="6" borderId="29" xfId="0" applyNumberFormat="1" applyFont="1" applyFill="1" applyBorder="1" applyAlignment="1">
      <alignment horizontal="center" vertical="center" wrapText="1"/>
    </xf>
    <xf numFmtId="172" fontId="19" fillId="9" borderId="24" xfId="0" applyNumberFormat="1" applyFont="1" applyFill="1" applyBorder="1" applyAlignment="1">
      <alignment horizontal="center" vertical="center" wrapText="1"/>
    </xf>
    <xf numFmtId="2" fontId="19" fillId="6" borderId="25" xfId="0" applyNumberFormat="1" applyFont="1" applyFill="1" applyBorder="1" applyAlignment="1">
      <alignment horizontal="center" vertical="center" wrapText="1"/>
    </xf>
    <xf numFmtId="2" fontId="19" fillId="6" borderId="26" xfId="0" applyNumberFormat="1" applyFont="1" applyFill="1" applyBorder="1" applyAlignment="1">
      <alignment horizontal="center" vertical="center" wrapText="1"/>
    </xf>
    <xf numFmtId="2" fontId="19" fillId="6" borderId="24" xfId="0" applyNumberFormat="1" applyFont="1" applyFill="1" applyBorder="1" applyAlignment="1">
      <alignment horizontal="center" vertical="center" wrapText="1"/>
    </xf>
    <xf numFmtId="2" fontId="19" fillId="6" borderId="30" xfId="0" applyNumberFormat="1" applyFont="1" applyFill="1" applyBorder="1" applyAlignment="1">
      <alignment horizontal="center" vertical="center" wrapText="1"/>
    </xf>
    <xf numFmtId="2" fontId="19" fillId="6" borderId="27" xfId="0" applyNumberFormat="1" applyFont="1" applyFill="1" applyBorder="1" applyAlignment="1">
      <alignment horizontal="center" vertical="center" wrapText="1"/>
    </xf>
    <xf numFmtId="0" fontId="13" fillId="5" borderId="31" xfId="0" applyFont="1" applyFill="1" applyBorder="1" applyAlignment="1">
      <alignment horizontal="left" vertical="center"/>
    </xf>
    <xf numFmtId="0" fontId="13" fillId="5" borderId="32" xfId="0" applyFont="1" applyFill="1" applyBorder="1" applyAlignment="1">
      <alignment horizontal="center" vertical="center"/>
    </xf>
    <xf numFmtId="165" fontId="13" fillId="0" borderId="32" xfId="0" applyNumberFormat="1" applyFont="1" applyBorder="1" applyAlignment="1">
      <alignment horizontal="right" vertical="center"/>
    </xf>
    <xf numFmtId="0" fontId="13" fillId="5" borderId="33" xfId="0" applyFont="1" applyFill="1" applyBorder="1" applyAlignment="1">
      <alignment horizontal="left" vertical="center"/>
    </xf>
    <xf numFmtId="0" fontId="19" fillId="6" borderId="33" xfId="0" applyFont="1" applyFill="1" applyBorder="1" applyAlignment="1">
      <alignment vertical="center"/>
    </xf>
    <xf numFmtId="0" fontId="31" fillId="6" borderId="33" xfId="0" applyFont="1" applyFill="1" applyBorder="1" applyAlignment="1">
      <alignment horizontal="right" vertical="center"/>
    </xf>
    <xf numFmtId="0" fontId="19" fillId="6" borderId="34" xfId="0" applyFont="1" applyFill="1" applyBorder="1" applyAlignment="1">
      <alignment vertical="center"/>
    </xf>
    <xf numFmtId="0" fontId="14" fillId="6" borderId="35" xfId="0" applyFont="1" applyFill="1" applyBorder="1" applyAlignment="1">
      <alignment horizontal="center" vertical="center"/>
    </xf>
    <xf numFmtId="2" fontId="20" fillId="6" borderId="1" xfId="2" applyNumberFormat="1" applyFont="1" applyFill="1" applyBorder="1" applyAlignment="1" applyProtection="1">
      <alignment horizontal="right" vertical="center"/>
      <protection locked="0"/>
    </xf>
    <xf numFmtId="0" fontId="13" fillId="5" borderId="2" xfId="0" applyFont="1" applyFill="1" applyBorder="1" applyAlignment="1">
      <alignment horizontal="left" vertical="center"/>
    </xf>
    <xf numFmtId="0" fontId="31" fillId="5" borderId="3" xfId="0" applyFont="1" applyFill="1" applyBorder="1" applyAlignment="1">
      <alignment horizontal="center" vertical="center"/>
    </xf>
    <xf numFmtId="167" fontId="32" fillId="0" borderId="3" xfId="1" applyNumberFormat="1" applyFont="1" applyFill="1" applyBorder="1" applyAlignment="1" applyProtection="1">
      <alignment vertical="center"/>
    </xf>
    <xf numFmtId="165" fontId="53" fillId="5" borderId="3" xfId="0" applyNumberFormat="1" applyFont="1" applyFill="1" applyBorder="1" applyAlignment="1">
      <alignment horizontal="center" vertical="center"/>
    </xf>
    <xf numFmtId="165" fontId="53" fillId="5" borderId="4" xfId="0" applyNumberFormat="1" applyFont="1" applyFill="1" applyBorder="1" applyAlignment="1">
      <alignment horizontal="center" vertical="center"/>
    </xf>
    <xf numFmtId="0" fontId="13" fillId="5" borderId="39" xfId="0" applyFont="1" applyFill="1" applyBorder="1" applyAlignment="1">
      <alignment horizontal="left" vertical="center"/>
    </xf>
    <xf numFmtId="2" fontId="43" fillId="5" borderId="40" xfId="2" applyNumberFormat="1" applyFont="1" applyFill="1" applyBorder="1" applyAlignment="1" applyProtection="1">
      <alignment horizontal="right" vertical="center"/>
    </xf>
    <xf numFmtId="0" fontId="19" fillId="6" borderId="41" xfId="0" applyFont="1" applyFill="1" applyBorder="1" applyAlignment="1">
      <alignment vertical="center"/>
    </xf>
    <xf numFmtId="0" fontId="14" fillId="6" borderId="42" xfId="0" applyFont="1" applyFill="1" applyBorder="1" applyAlignment="1">
      <alignment horizontal="center" vertical="center"/>
    </xf>
    <xf numFmtId="167" fontId="13" fillId="0" borderId="42" xfId="1" applyNumberFormat="1" applyFont="1" applyFill="1" applyBorder="1" applyAlignment="1" applyProtection="1">
      <alignment vertical="center"/>
    </xf>
    <xf numFmtId="4" fontId="46" fillId="6" borderId="5" xfId="2" applyNumberFormat="1" applyFont="1" applyFill="1" applyBorder="1" applyAlignment="1" applyProtection="1">
      <alignment horizontal="right" vertical="center"/>
      <protection locked="0"/>
    </xf>
    <xf numFmtId="4" fontId="38" fillId="0" borderId="0" xfId="0" applyNumberFormat="1" applyFont="1"/>
    <xf numFmtId="177" fontId="0" fillId="0" borderId="0" xfId="0" applyNumberFormat="1"/>
    <xf numFmtId="2" fontId="20" fillId="6" borderId="38" xfId="2" quotePrefix="1" applyNumberFormat="1" applyFont="1" applyFill="1" applyBorder="1" applyAlignment="1" applyProtection="1">
      <alignment horizontal="right" vertical="center"/>
      <protection locked="0"/>
    </xf>
    <xf numFmtId="4" fontId="19" fillId="7" borderId="5" xfId="2" applyNumberFormat="1" applyFont="1" applyFill="1" applyBorder="1" applyAlignment="1" applyProtection="1">
      <alignment horizontal="right" vertical="center"/>
      <protection locked="0"/>
    </xf>
    <xf numFmtId="2" fontId="22" fillId="6" borderId="38" xfId="2" quotePrefix="1" applyNumberFormat="1" applyFont="1" applyFill="1" applyBorder="1" applyAlignment="1" applyProtection="1">
      <alignment horizontal="right" vertical="center"/>
      <protection locked="0"/>
    </xf>
    <xf numFmtId="0" fontId="0" fillId="0" borderId="40" xfId="0" applyBorder="1"/>
    <xf numFmtId="0" fontId="0" fillId="0" borderId="1" xfId="0" applyBorder="1"/>
    <xf numFmtId="0" fontId="34" fillId="0" borderId="1" xfId="0" applyFont="1" applyBorder="1"/>
    <xf numFmtId="2" fontId="0" fillId="0" borderId="0" xfId="0" applyNumberFormat="1" applyAlignment="1">
      <alignment horizontal="center" vertical="center"/>
    </xf>
    <xf numFmtId="2" fontId="0" fillId="0" borderId="0" xfId="2" applyNumberFormat="1" applyFont="1"/>
    <xf numFmtId="0" fontId="61" fillId="4" borderId="2" xfId="0" applyFont="1" applyFill="1" applyBorder="1" applyAlignment="1">
      <alignment horizontal="left" vertical="center" wrapText="1"/>
    </xf>
    <xf numFmtId="0" fontId="19" fillId="4" borderId="3" xfId="0" applyFont="1" applyFill="1" applyBorder="1" applyAlignment="1">
      <alignment horizontal="center" vertical="center"/>
    </xf>
    <xf numFmtId="165" fontId="14" fillId="4" borderId="3" xfId="0" applyNumberFormat="1" applyFont="1" applyFill="1" applyBorder="1" applyAlignment="1">
      <alignment horizontal="right" vertical="center"/>
    </xf>
    <xf numFmtId="3" fontId="38" fillId="0" borderId="40" xfId="0" applyNumberFormat="1" applyFont="1" applyBorder="1"/>
    <xf numFmtId="0" fontId="13" fillId="4" borderId="39" xfId="0" applyFont="1" applyFill="1" applyBorder="1" applyAlignment="1">
      <alignment horizontal="left" vertical="center" wrapText="1"/>
    </xf>
    <xf numFmtId="177" fontId="38" fillId="0" borderId="0" xfId="2" applyNumberFormat="1" applyFont="1" applyBorder="1"/>
    <xf numFmtId="0" fontId="60" fillId="4" borderId="39" xfId="0" applyFont="1" applyFill="1" applyBorder="1" applyAlignment="1">
      <alignment horizontal="left" vertical="center" wrapText="1"/>
    </xf>
    <xf numFmtId="0" fontId="45" fillId="0" borderId="40" xfId="0" applyFont="1" applyBorder="1"/>
    <xf numFmtId="0" fontId="20" fillId="6" borderId="42" xfId="0" applyFont="1" applyFill="1" applyBorder="1" applyAlignment="1">
      <alignment horizontal="center" vertical="center"/>
    </xf>
    <xf numFmtId="165" fontId="14" fillId="0" borderId="42" xfId="0" applyNumberFormat="1" applyFont="1" applyBorder="1" applyAlignment="1">
      <alignment horizontal="right" vertical="center"/>
    </xf>
    <xf numFmtId="168" fontId="44" fillId="6" borderId="43" xfId="2" applyNumberFormat="1" applyFont="1" applyFill="1" applyBorder="1" applyAlignment="1" applyProtection="1">
      <alignment horizontal="right" vertical="center"/>
      <protection hidden="1"/>
    </xf>
    <xf numFmtId="0" fontId="19" fillId="5" borderId="3" xfId="0" applyFont="1" applyFill="1" applyBorder="1" applyAlignment="1">
      <alignment horizontal="center" vertical="center"/>
    </xf>
    <xf numFmtId="165" fontId="14" fillId="0" borderId="3" xfId="0" applyNumberFormat="1" applyFont="1" applyBorder="1" applyAlignment="1">
      <alignment horizontal="right" vertical="center"/>
    </xf>
    <xf numFmtId="3" fontId="41" fillId="5" borderId="47" xfId="2" applyNumberFormat="1" applyFont="1" applyFill="1" applyBorder="1" applyAlignment="1" applyProtection="1">
      <alignment horizontal="right" vertical="center"/>
    </xf>
    <xf numFmtId="3" fontId="41" fillId="5" borderId="48" xfId="2" applyNumberFormat="1" applyFont="1" applyFill="1" applyBorder="1" applyAlignment="1" applyProtection="1">
      <alignment horizontal="right" vertical="center"/>
    </xf>
    <xf numFmtId="0" fontId="24" fillId="4" borderId="40" xfId="0" applyFont="1" applyFill="1" applyBorder="1" applyAlignment="1">
      <alignment horizontal="right" vertical="center" wrapText="1"/>
    </xf>
    <xf numFmtId="0" fontId="19" fillId="6" borderId="42" xfId="0" applyFont="1" applyFill="1" applyBorder="1" applyAlignment="1">
      <alignment horizontal="center" vertical="center"/>
    </xf>
    <xf numFmtId="165" fontId="19" fillId="0" borderId="42" xfId="0" applyNumberFormat="1" applyFont="1" applyBorder="1" applyAlignment="1">
      <alignment horizontal="right" vertical="center"/>
    </xf>
    <xf numFmtId="3" fontId="44" fillId="6" borderId="43" xfId="2" applyNumberFormat="1" applyFont="1" applyFill="1" applyBorder="1" applyAlignment="1" applyProtection="1">
      <alignment horizontal="right" vertical="center"/>
    </xf>
    <xf numFmtId="165" fontId="12" fillId="8" borderId="49" xfId="0" applyNumberFormat="1" applyFont="1" applyFill="1" applyBorder="1" applyAlignment="1">
      <alignment horizontal="center" vertical="center"/>
    </xf>
    <xf numFmtId="3" fontId="41" fillId="5" borderId="49" xfId="2" applyNumberFormat="1" applyFont="1" applyFill="1" applyBorder="1" applyAlignment="1" applyProtection="1">
      <alignment horizontal="right" vertical="center"/>
    </xf>
    <xf numFmtId="173" fontId="41" fillId="5" borderId="49" xfId="2" applyNumberFormat="1" applyFont="1" applyFill="1" applyBorder="1" applyAlignment="1" applyProtection="1">
      <alignment horizontal="right" vertical="center"/>
    </xf>
    <xf numFmtId="4" fontId="41" fillId="5" borderId="49" xfId="2" applyNumberFormat="1" applyFont="1" applyFill="1" applyBorder="1" applyAlignment="1" applyProtection="1">
      <alignment horizontal="right" vertical="center"/>
    </xf>
    <xf numFmtId="3" fontId="46" fillId="6" borderId="49" xfId="2" applyNumberFormat="1" applyFont="1" applyFill="1" applyBorder="1" applyAlignment="1" applyProtection="1">
      <alignment horizontal="right" vertical="center"/>
    </xf>
    <xf numFmtId="3" fontId="46" fillId="7" borderId="49" xfId="2" applyNumberFormat="1" applyFont="1" applyFill="1" applyBorder="1" applyAlignment="1" applyProtection="1">
      <alignment horizontal="right" vertical="center"/>
      <protection locked="0"/>
    </xf>
    <xf numFmtId="9" fontId="14" fillId="6" borderId="5" xfId="2" applyFont="1" applyFill="1" applyBorder="1" applyAlignment="1" applyProtection="1">
      <alignment horizontal="right" vertical="center"/>
    </xf>
    <xf numFmtId="2" fontId="19" fillId="11" borderId="9" xfId="0" applyNumberFormat="1" applyFont="1" applyFill="1" applyBorder="1" applyAlignment="1">
      <alignment horizontal="center" vertical="center" wrapText="1"/>
    </xf>
    <xf numFmtId="2" fontId="19" fillId="11" borderId="5" xfId="0" applyNumberFormat="1" applyFont="1" applyFill="1" applyBorder="1" applyAlignment="1">
      <alignment horizontal="center" vertical="center" wrapText="1"/>
    </xf>
    <xf numFmtId="2" fontId="19" fillId="11" borderId="10" xfId="0" applyNumberFormat="1" applyFont="1" applyFill="1" applyBorder="1" applyAlignment="1">
      <alignment horizontal="center" vertical="center" wrapText="1"/>
    </xf>
    <xf numFmtId="2" fontId="19" fillId="11" borderId="7" xfId="0" applyNumberFormat="1" applyFont="1" applyFill="1" applyBorder="1" applyAlignment="1">
      <alignment horizontal="center" vertical="center" wrapText="1"/>
    </xf>
    <xf numFmtId="2" fontId="19" fillId="11" borderId="22" xfId="0" applyNumberFormat="1" applyFont="1" applyFill="1" applyBorder="1" applyAlignment="1">
      <alignment horizontal="center" vertical="center" wrapText="1"/>
    </xf>
    <xf numFmtId="164" fontId="19" fillId="11" borderId="7" xfId="1" applyFont="1" applyFill="1" applyBorder="1" applyAlignment="1">
      <alignment horizontal="center" vertical="center" wrapText="1"/>
    </xf>
    <xf numFmtId="2" fontId="0" fillId="0" borderId="1" xfId="0" applyNumberFormat="1" applyBorder="1"/>
    <xf numFmtId="177" fontId="0" fillId="0" borderId="1" xfId="0" applyNumberFormat="1" applyBorder="1"/>
    <xf numFmtId="177" fontId="19" fillId="11" borderId="9" xfId="0" applyNumberFormat="1" applyFont="1" applyFill="1" applyBorder="1" applyAlignment="1">
      <alignment horizontal="center" vertical="center" wrapText="1"/>
    </xf>
    <xf numFmtId="177" fontId="19" fillId="11" borderId="5" xfId="0" applyNumberFormat="1" applyFont="1" applyFill="1" applyBorder="1" applyAlignment="1">
      <alignment horizontal="center" vertical="center" wrapText="1"/>
    </xf>
    <xf numFmtId="177" fontId="19" fillId="11" borderId="10" xfId="0" applyNumberFormat="1" applyFont="1" applyFill="1" applyBorder="1" applyAlignment="1">
      <alignment horizontal="center" vertical="center" wrapText="1"/>
    </xf>
    <xf numFmtId="10" fontId="0" fillId="0" borderId="0" xfId="2" applyNumberFormat="1" applyFont="1"/>
    <xf numFmtId="4" fontId="35" fillId="0" borderId="0" xfId="0" applyNumberFormat="1" applyFont="1" applyAlignment="1">
      <alignment horizontal="center" vertical="center" wrapText="1"/>
    </xf>
    <xf numFmtId="0" fontId="19" fillId="6" borderId="39" xfId="0" applyFont="1" applyFill="1" applyBorder="1" applyAlignment="1">
      <alignment vertical="center"/>
    </xf>
    <xf numFmtId="0" fontId="19" fillId="6" borderId="39" xfId="0" applyFont="1" applyFill="1" applyBorder="1" applyAlignment="1">
      <alignment vertical="top" wrapText="1"/>
    </xf>
    <xf numFmtId="3" fontId="46" fillId="7" borderId="52" xfId="2" applyNumberFormat="1" applyFont="1" applyFill="1" applyBorder="1" applyAlignment="1" applyProtection="1">
      <alignment horizontal="right" vertical="center"/>
      <protection locked="0"/>
    </xf>
    <xf numFmtId="3" fontId="47" fillId="0" borderId="3" xfId="0" applyNumberFormat="1" applyFont="1" applyBorder="1"/>
    <xf numFmtId="3" fontId="38" fillId="0" borderId="4" xfId="0" applyNumberFormat="1" applyFont="1" applyBorder="1"/>
    <xf numFmtId="0" fontId="13" fillId="5" borderId="39" xfId="0" applyFont="1" applyFill="1" applyBorder="1" applyAlignment="1">
      <alignment horizontal="left" vertical="center" wrapText="1"/>
    </xf>
    <xf numFmtId="0" fontId="19" fillId="6" borderId="39" xfId="0" applyFont="1" applyFill="1" applyBorder="1" applyAlignment="1">
      <alignment horizontal="left" vertical="center" wrapText="1"/>
    </xf>
    <xf numFmtId="0" fontId="20" fillId="6" borderId="39" xfId="0" applyFont="1" applyFill="1" applyBorder="1" applyAlignment="1">
      <alignment horizontal="right" vertical="center" wrapText="1"/>
    </xf>
    <xf numFmtId="0" fontId="19" fillId="6" borderId="39" xfId="0" applyFont="1" applyFill="1" applyBorder="1" applyAlignment="1">
      <alignment horizontal="left" vertical="center"/>
    </xf>
    <xf numFmtId="0" fontId="20" fillId="6" borderId="39" xfId="0" applyFont="1" applyFill="1" applyBorder="1" applyAlignment="1">
      <alignment horizontal="right"/>
    </xf>
    <xf numFmtId="0" fontId="20" fillId="6" borderId="39" xfId="0" applyFont="1" applyFill="1" applyBorder="1" applyAlignment="1">
      <alignment horizontal="left"/>
    </xf>
    <xf numFmtId="0" fontId="13" fillId="6" borderId="39" xfId="0" applyFont="1" applyFill="1" applyBorder="1" applyAlignment="1">
      <alignment horizontal="left" vertical="center" wrapText="1"/>
    </xf>
    <xf numFmtId="0" fontId="33" fillId="6" borderId="39" xfId="0" applyFont="1" applyFill="1" applyBorder="1" applyAlignment="1">
      <alignment horizontal="right" vertical="center" wrapText="1"/>
    </xf>
    <xf numFmtId="0" fontId="20" fillId="6" borderId="41" xfId="0" applyFont="1" applyFill="1" applyBorder="1" applyAlignment="1">
      <alignment horizontal="right" vertical="center" wrapText="1"/>
    </xf>
    <xf numFmtId="0" fontId="13" fillId="5" borderId="2" xfId="0" applyFont="1" applyFill="1" applyBorder="1" applyAlignment="1">
      <alignment horizontal="left" vertical="center" wrapText="1"/>
    </xf>
    <xf numFmtId="0" fontId="31" fillId="5" borderId="0" xfId="0" applyFont="1" applyFill="1" applyAlignment="1">
      <alignment horizontal="center" vertical="center"/>
    </xf>
    <xf numFmtId="2" fontId="19" fillId="6" borderId="42" xfId="2" applyNumberFormat="1" applyFont="1" applyFill="1" applyBorder="1" applyAlignment="1" applyProtection="1">
      <alignment horizontal="right" vertical="center"/>
      <protection locked="0"/>
    </xf>
    <xf numFmtId="2" fontId="19" fillId="6" borderId="53" xfId="2" applyNumberFormat="1" applyFont="1" applyFill="1" applyBorder="1" applyAlignment="1" applyProtection="1">
      <alignment horizontal="right" vertical="center"/>
      <protection locked="0"/>
    </xf>
    <xf numFmtId="165" fontId="12" fillId="8" borderId="1" xfId="0" applyNumberFormat="1" applyFont="1" applyFill="1" applyBorder="1" applyAlignment="1">
      <alignment horizontal="center" vertical="center"/>
    </xf>
    <xf numFmtId="2" fontId="22" fillId="6" borderId="1" xfId="2" applyNumberFormat="1" applyFont="1" applyFill="1" applyBorder="1" applyAlignment="1" applyProtection="1">
      <alignment horizontal="right" vertical="center"/>
      <protection locked="0"/>
    </xf>
    <xf numFmtId="2" fontId="20" fillId="6" borderId="1" xfId="2" quotePrefix="1" applyNumberFormat="1" applyFont="1" applyFill="1" applyBorder="1" applyAlignment="1" applyProtection="1">
      <alignment horizontal="right" vertical="center"/>
      <protection locked="0"/>
    </xf>
    <xf numFmtId="2" fontId="22" fillId="6" borderId="1" xfId="2" quotePrefix="1" applyNumberFormat="1" applyFont="1" applyFill="1" applyBorder="1" applyAlignment="1" applyProtection="1">
      <alignment horizontal="right" vertical="center"/>
      <protection locked="0"/>
    </xf>
    <xf numFmtId="165" fontId="50" fillId="8" borderId="1" xfId="0" applyNumberFormat="1" applyFont="1" applyFill="1" applyBorder="1" applyAlignment="1">
      <alignment horizontal="center" vertical="center"/>
    </xf>
    <xf numFmtId="170" fontId="49" fillId="8" borderId="1" xfId="2" applyNumberFormat="1" applyFont="1" applyFill="1" applyBorder="1" applyAlignment="1" applyProtection="1">
      <alignment horizontal="right" vertical="center"/>
    </xf>
    <xf numFmtId="165" fontId="49" fillId="8" borderId="1" xfId="0" applyNumberFormat="1" applyFont="1" applyFill="1" applyBorder="1" applyAlignment="1">
      <alignment horizontal="right" vertical="center"/>
    </xf>
    <xf numFmtId="165" fontId="12" fillId="8" borderId="36" xfId="0" applyNumberFormat="1" applyFont="1" applyFill="1" applyBorder="1" applyAlignment="1">
      <alignment horizontal="center" vertical="center"/>
    </xf>
    <xf numFmtId="165" fontId="12" fillId="8" borderId="37" xfId="0" applyNumberFormat="1" applyFont="1" applyFill="1" applyBorder="1" applyAlignment="1">
      <alignment horizontal="center" vertical="center"/>
    </xf>
    <xf numFmtId="165" fontId="12" fillId="8" borderId="38" xfId="0" applyNumberFormat="1" applyFont="1" applyFill="1" applyBorder="1" applyAlignment="1">
      <alignment horizontal="center" vertical="center"/>
    </xf>
    <xf numFmtId="2" fontId="22" fillId="6" borderId="38" xfId="2" applyNumberFormat="1" applyFont="1" applyFill="1" applyBorder="1" applyAlignment="1" applyProtection="1">
      <alignment horizontal="right" vertical="center"/>
      <protection locked="0"/>
    </xf>
    <xf numFmtId="165" fontId="50" fillId="8" borderId="38" xfId="0" applyNumberFormat="1" applyFont="1" applyFill="1" applyBorder="1" applyAlignment="1">
      <alignment horizontal="center" vertical="center"/>
    </xf>
    <xf numFmtId="170" fontId="49" fillId="8" borderId="38" xfId="2" applyNumberFormat="1" applyFont="1" applyFill="1" applyBorder="1" applyAlignment="1" applyProtection="1">
      <alignment horizontal="right" vertical="center"/>
    </xf>
    <xf numFmtId="165" fontId="49" fillId="8" borderId="38" xfId="0" applyNumberFormat="1" applyFont="1" applyFill="1" applyBorder="1" applyAlignment="1">
      <alignment horizontal="right" vertical="center"/>
    </xf>
    <xf numFmtId="173" fontId="42" fillId="5" borderId="0" xfId="2" applyNumberFormat="1" applyFont="1" applyFill="1" applyBorder="1" applyAlignment="1" applyProtection="1">
      <alignment horizontal="right" vertical="center"/>
    </xf>
    <xf numFmtId="0" fontId="45" fillId="0" borderId="0" xfId="0" applyFont="1"/>
    <xf numFmtId="173" fontId="42" fillId="5" borderId="40" xfId="2" applyNumberFormat="1" applyFont="1" applyFill="1" applyBorder="1" applyAlignment="1" applyProtection="1">
      <alignment horizontal="right" vertical="center"/>
    </xf>
    <xf numFmtId="165" fontId="19" fillId="0" borderId="0" xfId="0" applyNumberFormat="1" applyFont="1" applyAlignment="1">
      <alignment horizontal="right" vertical="center"/>
    </xf>
    <xf numFmtId="0" fontId="20" fillId="6" borderId="0" xfId="0" applyFont="1" applyFill="1" applyAlignment="1">
      <alignment horizontal="center" vertical="center"/>
    </xf>
    <xf numFmtId="165" fontId="20" fillId="0" borderId="0" xfId="0" applyNumberFormat="1" applyFont="1" applyAlignment="1">
      <alignment horizontal="right"/>
    </xf>
    <xf numFmtId="0" fontId="20" fillId="4" borderId="0" xfId="0" applyFont="1" applyFill="1" applyAlignment="1">
      <alignment horizontal="center" vertical="center"/>
    </xf>
    <xf numFmtId="165" fontId="20" fillId="4" borderId="0" xfId="0" applyNumberFormat="1" applyFont="1" applyFill="1" applyAlignment="1">
      <alignment horizontal="right"/>
    </xf>
    <xf numFmtId="165" fontId="20" fillId="4" borderId="3" xfId="0" applyNumberFormat="1" applyFont="1" applyFill="1" applyBorder="1" applyAlignment="1">
      <alignment horizontal="right"/>
    </xf>
    <xf numFmtId="3" fontId="42" fillId="6" borderId="47" xfId="2" applyNumberFormat="1" applyFont="1" applyFill="1" applyBorder="1" applyAlignment="1" applyProtection="1">
      <alignment horizontal="right" vertical="center"/>
      <protection hidden="1"/>
    </xf>
    <xf numFmtId="165" fontId="20" fillId="4" borderId="0" xfId="0" applyNumberFormat="1" applyFont="1" applyFill="1" applyAlignment="1">
      <alignment horizontal="right" vertical="center"/>
    </xf>
    <xf numFmtId="173" fontId="42" fillId="5" borderId="11" xfId="2" applyNumberFormat="1" applyFont="1" applyFill="1" applyBorder="1" applyAlignment="1" applyProtection="1">
      <alignment horizontal="right" vertical="center"/>
    </xf>
    <xf numFmtId="173" fontId="42" fillId="5" borderId="54" xfId="2" applyNumberFormat="1" applyFont="1" applyFill="1" applyBorder="1" applyAlignment="1" applyProtection="1">
      <alignment horizontal="right" vertical="center"/>
    </xf>
    <xf numFmtId="3" fontId="44" fillId="6" borderId="55" xfId="2" applyNumberFormat="1" applyFont="1" applyFill="1" applyBorder="1" applyAlignment="1" applyProtection="1">
      <alignment horizontal="right" vertical="center"/>
      <protection hidden="1"/>
    </xf>
    <xf numFmtId="3" fontId="44" fillId="6" borderId="56" xfId="2" applyNumberFormat="1" applyFont="1" applyFill="1" applyBorder="1" applyAlignment="1" applyProtection="1">
      <alignment horizontal="right" vertical="center"/>
      <protection hidden="1"/>
    </xf>
    <xf numFmtId="3" fontId="42" fillId="6" borderId="55" xfId="2" applyNumberFormat="1" applyFont="1" applyFill="1" applyBorder="1" applyAlignment="1" applyProtection="1">
      <alignment horizontal="right" vertical="center"/>
      <protection hidden="1"/>
    </xf>
    <xf numFmtId="3" fontId="42" fillId="6" borderId="56" xfId="2" applyNumberFormat="1" applyFont="1" applyFill="1" applyBorder="1" applyAlignment="1" applyProtection="1">
      <alignment horizontal="right" vertical="center"/>
      <protection hidden="1"/>
    </xf>
    <xf numFmtId="10" fontId="44" fillId="6" borderId="57" xfId="2" applyNumberFormat="1" applyFont="1" applyFill="1" applyBorder="1" applyAlignment="1" applyProtection="1">
      <alignment horizontal="right" vertical="center"/>
      <protection hidden="1"/>
    </xf>
    <xf numFmtId="10" fontId="44" fillId="6" borderId="58" xfId="2" applyNumberFormat="1" applyFont="1" applyFill="1" applyBorder="1" applyAlignment="1" applyProtection="1">
      <alignment horizontal="right" vertical="center"/>
      <protection hidden="1"/>
    </xf>
    <xf numFmtId="10" fontId="44" fillId="6" borderId="59" xfId="2" applyNumberFormat="1" applyFont="1" applyFill="1" applyBorder="1" applyAlignment="1" applyProtection="1">
      <alignment horizontal="right" vertical="center"/>
      <protection hidden="1"/>
    </xf>
    <xf numFmtId="0" fontId="64" fillId="4" borderId="0" xfId="3" applyFont="1" applyFill="1" applyAlignment="1">
      <alignment horizontal="left" vertical="top" wrapText="1"/>
    </xf>
    <xf numFmtId="165" fontId="19" fillId="10" borderId="14" xfId="0" applyNumberFormat="1" applyFont="1" applyFill="1" applyBorder="1" applyAlignment="1">
      <alignment horizontal="center" vertical="center" wrapText="1"/>
    </xf>
    <xf numFmtId="165" fontId="19" fillId="10" borderId="11" xfId="0" applyNumberFormat="1" applyFont="1" applyFill="1" applyBorder="1" applyAlignment="1">
      <alignment horizontal="center" vertical="center" wrapText="1"/>
    </xf>
    <xf numFmtId="165" fontId="19" fillId="10" borderId="12" xfId="0" applyNumberFormat="1" applyFont="1" applyFill="1" applyBorder="1" applyAlignment="1">
      <alignment horizontal="center" vertical="center" wrapText="1"/>
    </xf>
    <xf numFmtId="165" fontId="19" fillId="10" borderId="22" xfId="0" applyNumberFormat="1" applyFont="1" applyFill="1" applyBorder="1" applyAlignment="1">
      <alignment horizontal="center" vertical="center" wrapText="1"/>
    </xf>
    <xf numFmtId="0" fontId="60" fillId="4" borderId="0" xfId="0" applyFont="1" applyFill="1" applyAlignment="1">
      <alignment horizontal="left" vertical="center" wrapText="1"/>
    </xf>
    <xf numFmtId="0" fontId="13" fillId="2" borderId="39" xfId="0" applyFont="1" applyFill="1" applyBorder="1" applyAlignment="1">
      <alignment horizontal="left" vertical="center" wrapText="1"/>
    </xf>
    <xf numFmtId="0" fontId="19" fillId="2" borderId="0" xfId="0" applyFont="1" applyFill="1" applyAlignment="1">
      <alignment horizontal="center" vertical="center"/>
    </xf>
    <xf numFmtId="0" fontId="20" fillId="3" borderId="39" xfId="0" applyFont="1" applyFill="1" applyBorder="1" applyAlignment="1">
      <alignment horizontal="right" vertical="center" wrapText="1"/>
    </xf>
    <xf numFmtId="0" fontId="19" fillId="3" borderId="0" xfId="0" applyFont="1" applyFill="1" applyAlignment="1">
      <alignment horizontal="center" vertical="center"/>
    </xf>
    <xf numFmtId="0" fontId="18" fillId="4" borderId="0" xfId="3" applyFont="1" applyFill="1" applyAlignment="1">
      <alignment horizontal="left" vertical="center" wrapText="1"/>
    </xf>
    <xf numFmtId="0" fontId="62" fillId="10" borderId="0" xfId="0" applyFont="1" applyFill="1" applyAlignment="1">
      <alignment horizontal="left" vertical="center" wrapText="1"/>
    </xf>
    <xf numFmtId="0" fontId="20" fillId="6" borderId="39" xfId="0" applyFont="1" applyFill="1" applyBorder="1" applyAlignment="1">
      <alignment horizontal="right" vertical="center" wrapText="1"/>
    </xf>
    <xf numFmtId="0" fontId="20" fillId="6" borderId="41" xfId="0" applyFont="1" applyFill="1" applyBorder="1" applyAlignment="1">
      <alignment horizontal="right" vertical="center" wrapText="1"/>
    </xf>
    <xf numFmtId="3" fontId="58" fillId="0" borderId="0" xfId="4" applyNumberFormat="1" applyFont="1" applyAlignment="1">
      <alignment horizontal="center"/>
    </xf>
    <xf numFmtId="173" fontId="42" fillId="6" borderId="0" xfId="2" applyNumberFormat="1" applyFont="1" applyFill="1" applyBorder="1" applyAlignment="1" applyProtection="1">
      <alignment horizontal="center" vertical="center"/>
    </xf>
    <xf numFmtId="3" fontId="44" fillId="6" borderId="54" xfId="2" applyNumberFormat="1" applyFont="1" applyFill="1" applyBorder="1" applyAlignment="1" applyProtection="1">
      <alignment horizontal="center" vertical="center"/>
      <protection hidden="1"/>
    </xf>
    <xf numFmtId="3" fontId="44" fillId="6" borderId="60" xfId="2" applyNumberFormat="1" applyFont="1" applyFill="1" applyBorder="1" applyAlignment="1" applyProtection="1">
      <alignment horizontal="center" vertical="center"/>
      <protection hidden="1"/>
    </xf>
    <xf numFmtId="3" fontId="44" fillId="6" borderId="61" xfId="2" applyNumberFormat="1" applyFont="1" applyFill="1" applyBorder="1" applyAlignment="1" applyProtection="1">
      <alignment horizontal="center" vertical="center"/>
      <protection hidden="1"/>
    </xf>
    <xf numFmtId="3" fontId="44" fillId="6" borderId="62" xfId="2" applyNumberFormat="1" applyFont="1" applyFill="1" applyBorder="1" applyAlignment="1" applyProtection="1">
      <alignment horizontal="center" vertical="center"/>
      <protection hidden="1"/>
    </xf>
    <xf numFmtId="3" fontId="44" fillId="6" borderId="0" xfId="2" applyNumberFormat="1" applyFont="1" applyFill="1" applyBorder="1" applyAlignment="1" applyProtection="1">
      <alignment horizontal="center" vertical="center"/>
      <protection hidden="1"/>
    </xf>
    <xf numFmtId="3" fontId="44" fillId="6" borderId="40" xfId="2" applyNumberFormat="1" applyFont="1" applyFill="1" applyBorder="1" applyAlignment="1" applyProtection="1">
      <alignment horizontal="center" vertical="center"/>
      <protection hidden="1"/>
    </xf>
    <xf numFmtId="3" fontId="44" fillId="6" borderId="65" xfId="2" applyNumberFormat="1" applyFont="1" applyFill="1" applyBorder="1" applyAlignment="1" applyProtection="1">
      <alignment horizontal="center" vertical="center"/>
      <protection hidden="1"/>
    </xf>
    <xf numFmtId="3" fontId="44" fillId="6" borderId="42" xfId="2" applyNumberFormat="1" applyFont="1" applyFill="1" applyBorder="1" applyAlignment="1" applyProtection="1">
      <alignment horizontal="center" vertical="center"/>
      <protection hidden="1"/>
    </xf>
    <xf numFmtId="3" fontId="44" fillId="6" borderId="53" xfId="2" applyNumberFormat="1" applyFont="1" applyFill="1" applyBorder="1" applyAlignment="1" applyProtection="1">
      <alignment horizontal="center" vertical="center"/>
      <protection hidden="1"/>
    </xf>
    <xf numFmtId="3" fontId="42" fillId="6" borderId="3" xfId="2" applyNumberFormat="1" applyFont="1" applyFill="1" applyBorder="1" applyAlignment="1" applyProtection="1">
      <alignment horizontal="center" vertical="center"/>
      <protection hidden="1"/>
    </xf>
    <xf numFmtId="3" fontId="42" fillId="6" borderId="0" xfId="2" applyNumberFormat="1" applyFont="1" applyFill="1" applyBorder="1" applyAlignment="1" applyProtection="1">
      <alignment horizontal="center" vertical="center"/>
      <protection hidden="1"/>
    </xf>
    <xf numFmtId="3" fontId="42" fillId="6" borderId="42" xfId="2" applyNumberFormat="1" applyFont="1" applyFill="1" applyBorder="1" applyAlignment="1" applyProtection="1">
      <alignment horizontal="center" vertical="center"/>
      <protection hidden="1"/>
    </xf>
    <xf numFmtId="173" fontId="42" fillId="6" borderId="40" xfId="2" applyNumberFormat="1" applyFont="1" applyFill="1" applyBorder="1" applyAlignment="1" applyProtection="1">
      <alignment horizontal="center" vertical="center"/>
    </xf>
    <xf numFmtId="3" fontId="42" fillId="6" borderId="4" xfId="2" applyNumberFormat="1" applyFont="1" applyFill="1" applyBorder="1" applyAlignment="1" applyProtection="1">
      <alignment horizontal="center" vertical="center"/>
      <protection hidden="1"/>
    </xf>
    <xf numFmtId="3" fontId="42" fillId="6" borderId="40" xfId="2" applyNumberFormat="1" applyFont="1" applyFill="1" applyBorder="1" applyAlignment="1" applyProtection="1">
      <alignment horizontal="center" vertical="center"/>
      <protection hidden="1"/>
    </xf>
    <xf numFmtId="3" fontId="42" fillId="6" borderId="53" xfId="2" applyNumberFormat="1" applyFont="1" applyFill="1" applyBorder="1" applyAlignment="1" applyProtection="1">
      <alignment horizontal="center" vertical="center"/>
      <protection hidden="1"/>
    </xf>
    <xf numFmtId="3" fontId="48" fillId="6" borderId="54" xfId="2" applyNumberFormat="1" applyFont="1" applyFill="1" applyBorder="1" applyAlignment="1" applyProtection="1">
      <alignment horizontal="center" vertical="center"/>
      <protection hidden="1"/>
    </xf>
    <xf numFmtId="3" fontId="48" fillId="6" borderId="60" xfId="2" applyNumberFormat="1" applyFont="1" applyFill="1" applyBorder="1" applyAlignment="1" applyProtection="1">
      <alignment horizontal="center" vertical="center"/>
      <protection hidden="1"/>
    </xf>
    <xf numFmtId="3" fontId="48" fillId="6" borderId="61" xfId="2" applyNumberFormat="1" applyFont="1" applyFill="1" applyBorder="1" applyAlignment="1" applyProtection="1">
      <alignment horizontal="center" vertical="center"/>
      <protection hidden="1"/>
    </xf>
    <xf numFmtId="3" fontId="48" fillId="6" borderId="62" xfId="2" applyNumberFormat="1" applyFont="1" applyFill="1" applyBorder="1" applyAlignment="1" applyProtection="1">
      <alignment horizontal="center" vertical="center"/>
      <protection hidden="1"/>
    </xf>
    <xf numFmtId="3" fontId="48" fillId="6" borderId="0" xfId="2" applyNumberFormat="1" applyFont="1" applyFill="1" applyBorder="1" applyAlignment="1" applyProtection="1">
      <alignment horizontal="center" vertical="center"/>
      <protection hidden="1"/>
    </xf>
    <xf numFmtId="3" fontId="48" fillId="6" borderId="40" xfId="2" applyNumberFormat="1" applyFont="1" applyFill="1" applyBorder="1" applyAlignment="1" applyProtection="1">
      <alignment horizontal="center" vertical="center"/>
      <protection hidden="1"/>
    </xf>
    <xf numFmtId="3" fontId="48" fillId="6" borderId="63" xfId="2" applyNumberFormat="1" applyFont="1" applyFill="1" applyBorder="1" applyAlignment="1" applyProtection="1">
      <alignment horizontal="center" vertical="center"/>
      <protection hidden="1"/>
    </xf>
    <xf numFmtId="3" fontId="48" fillId="6" borderId="6" xfId="2" applyNumberFormat="1" applyFont="1" applyFill="1" applyBorder="1" applyAlignment="1" applyProtection="1">
      <alignment horizontal="center" vertical="center"/>
      <protection hidden="1"/>
    </xf>
    <xf numFmtId="3" fontId="48" fillId="6" borderId="64" xfId="2" applyNumberFormat="1" applyFont="1" applyFill="1" applyBorder="1" applyAlignment="1" applyProtection="1">
      <alignment horizontal="center" vertical="center"/>
      <protection hidden="1"/>
    </xf>
    <xf numFmtId="0" fontId="59" fillId="10" borderId="66" xfId="0" applyFont="1" applyFill="1" applyBorder="1" applyAlignment="1">
      <alignment horizontal="center" vertical="center" wrapText="1"/>
    </xf>
    <xf numFmtId="0" fontId="64" fillId="4" borderId="0" xfId="3" applyFont="1" applyFill="1" applyAlignment="1">
      <alignment horizontal="left" vertical="top" wrapText="1"/>
    </xf>
    <xf numFmtId="165" fontId="12" fillId="8" borderId="18" xfId="0" applyNumberFormat="1" applyFont="1" applyFill="1" applyBorder="1" applyAlignment="1">
      <alignment horizontal="center" vertical="center"/>
    </xf>
    <xf numFmtId="165" fontId="12" fillId="8" borderId="19" xfId="0" applyNumberFormat="1" applyFont="1" applyFill="1" applyBorder="1" applyAlignment="1">
      <alignment horizontal="center" vertical="center"/>
    </xf>
    <xf numFmtId="165" fontId="12" fillId="8" borderId="20" xfId="0" applyNumberFormat="1" applyFont="1" applyFill="1" applyBorder="1" applyAlignment="1">
      <alignment horizontal="center" vertical="center"/>
    </xf>
    <xf numFmtId="165" fontId="22" fillId="10" borderId="44" xfId="0" applyNumberFormat="1" applyFont="1" applyFill="1" applyBorder="1" applyAlignment="1">
      <alignment horizontal="center" vertical="center" wrapText="1"/>
    </xf>
    <xf numFmtId="165" fontId="22" fillId="10" borderId="6" xfId="0" applyNumberFormat="1" applyFont="1" applyFill="1" applyBorder="1" applyAlignment="1">
      <alignment horizontal="center" vertical="center" wrapText="1"/>
    </xf>
    <xf numFmtId="165" fontId="22" fillId="10" borderId="45" xfId="0" applyNumberFormat="1" applyFont="1" applyFill="1" applyBorder="1" applyAlignment="1">
      <alignment horizontal="center" vertical="center" wrapText="1"/>
    </xf>
    <xf numFmtId="165" fontId="22" fillId="10" borderId="67" xfId="0" applyNumberFormat="1" applyFont="1" applyFill="1" applyBorder="1" applyAlignment="1">
      <alignment horizontal="center" vertical="center" wrapText="1"/>
    </xf>
    <xf numFmtId="165" fontId="19" fillId="10" borderId="15" xfId="0" applyNumberFormat="1" applyFont="1" applyFill="1" applyBorder="1" applyAlignment="1">
      <alignment horizontal="center" vertical="center" wrapText="1"/>
    </xf>
    <xf numFmtId="165" fontId="19" fillId="10" borderId="10" xfId="0" applyNumberFormat="1" applyFont="1" applyFill="1" applyBorder="1" applyAlignment="1">
      <alignment horizontal="center" vertical="center" wrapText="1"/>
    </xf>
    <xf numFmtId="165" fontId="12" fillId="8" borderId="21" xfId="0" applyNumberFormat="1" applyFont="1" applyFill="1" applyBorder="1" applyAlignment="1">
      <alignment horizontal="center" vertical="center"/>
    </xf>
    <xf numFmtId="165" fontId="12" fillId="8" borderId="0" xfId="0" applyNumberFormat="1" applyFont="1" applyFill="1" applyAlignment="1">
      <alignment horizontal="center" vertical="center"/>
    </xf>
    <xf numFmtId="165" fontId="12" fillId="8" borderId="28" xfId="0" applyNumberFormat="1" applyFont="1" applyFill="1" applyBorder="1" applyAlignment="1">
      <alignment horizontal="center" vertical="center"/>
    </xf>
    <xf numFmtId="165" fontId="19" fillId="10" borderId="46" xfId="0" applyNumberFormat="1" applyFont="1" applyFill="1" applyBorder="1" applyAlignment="1">
      <alignment horizontal="center" vertical="center" wrapText="1"/>
    </xf>
    <xf numFmtId="165" fontId="19" fillId="10" borderId="0" xfId="0" applyNumberFormat="1" applyFont="1" applyFill="1" applyAlignment="1">
      <alignment horizontal="left" vertical="center" wrapText="1"/>
    </xf>
    <xf numFmtId="165" fontId="19" fillId="10" borderId="5" xfId="0" applyNumberFormat="1" applyFont="1" applyFill="1" applyBorder="1" applyAlignment="1">
      <alignment horizontal="center" vertical="center" wrapText="1"/>
    </xf>
    <xf numFmtId="165" fontId="19" fillId="10" borderId="5" xfId="0" applyNumberFormat="1" applyFont="1" applyFill="1" applyBorder="1" applyAlignment="1">
      <alignment horizontal="center" vertical="center"/>
    </xf>
    <xf numFmtId="0" fontId="52" fillId="8" borderId="42" xfId="0" applyFont="1" applyFill="1" applyBorder="1" applyAlignment="1">
      <alignment horizontal="left" vertical="center"/>
    </xf>
    <xf numFmtId="0" fontId="49" fillId="8" borderId="0" xfId="0" applyFont="1" applyFill="1" applyAlignment="1">
      <alignment horizontal="left" vertical="center"/>
    </xf>
    <xf numFmtId="165" fontId="19" fillId="10" borderId="0" xfId="0" applyNumberFormat="1" applyFont="1" applyFill="1" applyAlignment="1">
      <alignment horizontal="center" vertical="center" wrapText="1"/>
    </xf>
    <xf numFmtId="165" fontId="22" fillId="10" borderId="5" xfId="0" applyNumberFormat="1" applyFont="1" applyFill="1" applyBorder="1" applyAlignment="1">
      <alignment horizontal="center" vertical="center" wrapText="1"/>
    </xf>
    <xf numFmtId="3" fontId="22" fillId="10" borderId="5" xfId="0" applyNumberFormat="1" applyFont="1" applyFill="1" applyBorder="1" applyAlignment="1">
      <alignment horizontal="center" vertical="center" wrapText="1"/>
    </xf>
    <xf numFmtId="0" fontId="22" fillId="10" borderId="0" xfId="0" applyFont="1" applyFill="1" applyAlignment="1">
      <alignment horizontal="left"/>
    </xf>
    <xf numFmtId="0" fontId="52" fillId="8" borderId="18" xfId="0" applyFont="1" applyFill="1" applyBorder="1" applyAlignment="1">
      <alignment horizontal="left" vertical="center"/>
    </xf>
    <xf numFmtId="0" fontId="52" fillId="8" borderId="19" xfId="0" applyFont="1" applyFill="1" applyBorder="1" applyAlignment="1">
      <alignment horizontal="left" vertical="center"/>
    </xf>
    <xf numFmtId="0" fontId="52" fillId="8" borderId="20" xfId="0" applyFont="1" applyFill="1" applyBorder="1" applyAlignment="1">
      <alignment horizontal="left" vertical="center"/>
    </xf>
    <xf numFmtId="165" fontId="19" fillId="2" borderId="5" xfId="0" applyNumberFormat="1" applyFont="1" applyFill="1" applyBorder="1" applyAlignment="1">
      <alignment horizontal="center" vertical="center" wrapText="1"/>
    </xf>
    <xf numFmtId="0" fontId="22" fillId="2" borderId="0" xfId="0" applyFont="1" applyFill="1" applyAlignment="1">
      <alignment horizontal="left" vertical="center" wrapText="1"/>
    </xf>
    <xf numFmtId="165" fontId="19" fillId="2" borderId="0" xfId="0" applyNumberFormat="1" applyFont="1" applyFill="1" applyAlignment="1">
      <alignment horizontal="left" vertical="center" wrapText="1"/>
    </xf>
    <xf numFmtId="165" fontId="19" fillId="2" borderId="50" xfId="0" applyNumberFormat="1" applyFont="1" applyFill="1" applyBorder="1" applyAlignment="1">
      <alignment horizontal="center" vertical="center" wrapText="1"/>
    </xf>
    <xf numFmtId="165" fontId="19" fillId="2" borderId="51" xfId="0" applyNumberFormat="1" applyFont="1" applyFill="1" applyBorder="1" applyAlignment="1">
      <alignment horizontal="center" vertical="center" wrapText="1"/>
    </xf>
    <xf numFmtId="165" fontId="19" fillId="2" borderId="7" xfId="0" applyNumberFormat="1" applyFont="1" applyFill="1" applyBorder="1" applyAlignment="1">
      <alignment horizontal="center" vertical="center" wrapText="1"/>
    </xf>
    <xf numFmtId="0" fontId="13" fillId="5" borderId="0" xfId="0" applyFont="1" applyFill="1" applyBorder="1" applyAlignment="1">
      <alignment horizontal="center" vertical="center"/>
    </xf>
    <xf numFmtId="165" fontId="13" fillId="0" borderId="0" xfId="0" applyNumberFormat="1" applyFont="1" applyBorder="1" applyAlignment="1">
      <alignment horizontal="right" vertical="center"/>
    </xf>
    <xf numFmtId="0" fontId="14" fillId="6" borderId="0" xfId="0" applyFont="1" applyFill="1" applyBorder="1" applyAlignment="1">
      <alignment horizontal="center" vertical="center"/>
    </xf>
    <xf numFmtId="0" fontId="31" fillId="6" borderId="0" xfId="0" applyFont="1" applyFill="1" applyBorder="1" applyAlignment="1">
      <alignment horizontal="center" vertical="center"/>
    </xf>
    <xf numFmtId="167" fontId="13" fillId="0" borderId="35" xfId="1" applyNumberFormat="1" applyFont="1" applyFill="1" applyBorder="1" applyAlignment="1" applyProtection="1">
      <alignment vertical="center"/>
    </xf>
    <xf numFmtId="2" fontId="22" fillId="6" borderId="68" xfId="2" applyNumberFormat="1" applyFont="1" applyFill="1" applyBorder="1" applyAlignment="1" applyProtection="1">
      <alignment horizontal="right" vertical="center"/>
      <protection locked="0"/>
    </xf>
    <xf numFmtId="2" fontId="20" fillId="6" borderId="68" xfId="2" quotePrefix="1" applyNumberFormat="1" applyFont="1" applyFill="1" applyBorder="1" applyAlignment="1" applyProtection="1">
      <alignment horizontal="right" vertical="center"/>
      <protection locked="0"/>
    </xf>
    <xf numFmtId="2" fontId="20" fillId="6" borderId="69" xfId="2" quotePrefix="1" applyNumberFormat="1" applyFont="1" applyFill="1" applyBorder="1" applyAlignment="1" applyProtection="1">
      <alignment horizontal="right" vertical="center"/>
      <protection locked="0"/>
    </xf>
  </cellXfs>
  <cellStyles count="39">
    <cellStyle name="Comma" xfId="1" builtinId="3"/>
    <cellStyle name="Comma 2" xfId="14" xr:uid="{7EB75E83-969A-45B2-9CE1-473F6ABE58E9}"/>
    <cellStyle name="Normal" xfId="0" builtinId="0"/>
    <cellStyle name="Normal 12" xfId="16" xr:uid="{009CF539-0B0C-43F7-B0D5-FAA08DF4A915}"/>
    <cellStyle name="Normal 2" xfId="5" xr:uid="{00000000-0005-0000-0000-000002000000}"/>
    <cellStyle name="Normal 2 2" xfId="3" xr:uid="{00000000-0005-0000-0000-000003000000}"/>
    <cellStyle name="Normal 2 3" xfId="8" xr:uid="{00000000-0005-0000-0000-000004000000}"/>
    <cellStyle name="Normal 2 3 2" xfId="38" xr:uid="{6B4333BF-958E-4A2C-BC14-6570BA743C31}"/>
    <cellStyle name="Normal 2 4" xfId="17" xr:uid="{929CF9C1-09C2-4FF1-82E4-45276EC7D103}"/>
    <cellStyle name="Normal 2 4 2" xfId="31" xr:uid="{041816BF-F699-447B-819F-26CFFE5054FB}"/>
    <cellStyle name="Normal 2 5" xfId="24" xr:uid="{E1980246-8345-4FEF-B443-B46FEE4979FA}"/>
    <cellStyle name="Normal 3" xfId="6" xr:uid="{00000000-0005-0000-0000-000005000000}"/>
    <cellStyle name="Normal 3 2" xfId="9" xr:uid="{00000000-0005-0000-0000-000006000000}"/>
    <cellStyle name="Normal 3 3" xfId="18" xr:uid="{F255A276-F220-49DB-B96B-15CB01470326}"/>
    <cellStyle name="Normal 3 3 2" xfId="32" xr:uid="{F73BEED2-302A-4A44-86FF-3127618A7CC7}"/>
    <cellStyle name="Normal 3 4" xfId="25" xr:uid="{6E87CEE3-EF4B-4455-B286-529B43980C05}"/>
    <cellStyle name="Normal 4" xfId="4" xr:uid="{00000000-0005-0000-0000-000007000000}"/>
    <cellStyle name="Normal 5" xfId="10" xr:uid="{00000000-0005-0000-0000-000008000000}"/>
    <cellStyle name="Normal 5 2" xfId="20" xr:uid="{E0805B0C-19BE-4256-8265-893377500DE5}"/>
    <cellStyle name="Normal 5 2 2" xfId="34" xr:uid="{EAFEA99E-FAEF-4E8C-A038-71D3ABD855CF}"/>
    <cellStyle name="Normal 5 3" xfId="27" xr:uid="{316E1134-5C68-4E34-9B60-3369DFFC2253}"/>
    <cellStyle name="Normal 6" xfId="11" xr:uid="{00000000-0005-0000-0000-000009000000}"/>
    <cellStyle name="Normal 6 2" xfId="21" xr:uid="{5783EF08-4291-44DF-9C8A-B2686E3D5FB4}"/>
    <cellStyle name="Normal 6 2 2" xfId="35" xr:uid="{9E488CC3-7A30-4988-9F58-00133AFC8004}"/>
    <cellStyle name="Normal 6 3" xfId="28" xr:uid="{04AA072E-E0CF-4920-B2D3-9D12B253E09E}"/>
    <cellStyle name="Normal 7" xfId="12" xr:uid="{00000000-0005-0000-0000-00000A000000}"/>
    <cellStyle name="Normal 7 2" xfId="22" xr:uid="{8144EFC5-F6E3-48C4-9A59-712D01FC9637}"/>
    <cellStyle name="Normal 7 2 2" xfId="36" xr:uid="{54227099-2A52-4615-BD01-A0C74D86E935}"/>
    <cellStyle name="Normal 7 3" xfId="29" xr:uid="{410998E6-29F8-4B50-BBA5-FFE12B8AB7C0}"/>
    <cellStyle name="Normal 8" xfId="13" xr:uid="{00000000-0005-0000-0000-00000B000000}"/>
    <cellStyle name="Normal 8 2" xfId="23" xr:uid="{C99406BD-6DE6-4A8D-8C9B-2A0CE1B1A93E}"/>
    <cellStyle name="Normal 8 2 2" xfId="37" xr:uid="{911AD5E1-6165-4E1C-8FE5-B6CF91A6B914}"/>
    <cellStyle name="Normal 8 3" xfId="30" xr:uid="{702D1CBC-A873-45BE-9384-108DF795D1F0}"/>
    <cellStyle name="Percent" xfId="2" builtinId="5"/>
    <cellStyle name="Percent 2" xfId="7" xr:uid="{00000000-0005-0000-0000-00000D000000}"/>
    <cellStyle name="Percent 2 2" xfId="19" xr:uid="{B81C941C-7CD8-460D-91D5-FC5DFCC82B4C}"/>
    <cellStyle name="Percent 2 2 2" xfId="33" xr:uid="{1728B53B-5AA3-44B5-8C83-14BF262D55AC}"/>
    <cellStyle name="Percent 2 3" xfId="26" xr:uid="{AE7DD5CA-AB2D-4C2C-8DF0-86D7944BAE94}"/>
    <cellStyle name="Percent 3" xfId="15" xr:uid="{5A2DBE4D-C6F4-48F8-996E-B556400D543B}"/>
  </cellStyles>
  <dxfs count="0"/>
  <tableStyles count="0" defaultTableStyle="TableStyleMedium2" defaultPivotStyle="PivotStyleMedium9"/>
  <colors>
    <mruColors>
      <color rgb="FFDDD9C4"/>
      <color rgb="FFEAEEEF"/>
      <color rgb="FF5A6265"/>
      <color rgb="FFE8C895"/>
      <color rgb="FF9B8578"/>
      <color rgb="FF67C08B"/>
      <color rgb="FFD9D9D9"/>
      <color rgb="FF63AFC6"/>
      <color rgb="FFF5862B"/>
      <color rgb="FF3660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74"/>
  <sheetViews>
    <sheetView showGridLines="0" tabSelected="1" topLeftCell="A113" zoomScale="70" zoomScaleNormal="70" workbookViewId="0">
      <selection activeCell="L138" sqref="L138"/>
    </sheetView>
  </sheetViews>
  <sheetFormatPr defaultRowHeight="15" outlineLevelRow="3" x14ac:dyDescent="0.25"/>
  <cols>
    <col min="1" max="1" width="2.28515625" customWidth="1"/>
    <col min="2" max="2" width="94.5703125" customWidth="1"/>
    <col min="3" max="3" width="19.7109375" customWidth="1"/>
    <col min="4" max="4" width="7.5703125" bestFit="1" customWidth="1"/>
    <col min="5" max="5" width="19.42578125" bestFit="1" customWidth="1"/>
    <col min="6" max="6" width="18.28515625" customWidth="1"/>
    <col min="7" max="7" width="21.42578125" customWidth="1"/>
    <col min="8" max="8" width="22.5703125" customWidth="1"/>
    <col min="9" max="9" width="21.140625" customWidth="1"/>
    <col min="10" max="10" width="20.85546875" customWidth="1"/>
    <col min="11" max="11" width="21.140625" customWidth="1"/>
    <col min="12" max="12" width="16.42578125" customWidth="1"/>
    <col min="13" max="13" width="14.5703125" customWidth="1"/>
    <col min="14" max="14" width="15.42578125" customWidth="1"/>
    <col min="15" max="15" width="14.42578125" customWidth="1"/>
    <col min="16" max="16" width="15.85546875" customWidth="1"/>
    <col min="17" max="18" width="14.7109375" customWidth="1"/>
    <col min="19" max="19" width="15.5703125" customWidth="1"/>
    <col min="20" max="20" width="15.140625" customWidth="1"/>
    <col min="21" max="21" width="19.28515625" customWidth="1"/>
    <col min="22" max="22" width="14.42578125" customWidth="1"/>
    <col min="23" max="23" width="12.140625" customWidth="1"/>
    <col min="24" max="24" width="12.85546875" customWidth="1"/>
    <col min="25" max="25" width="12.7109375" customWidth="1"/>
    <col min="26" max="29" width="12.5703125" customWidth="1"/>
  </cols>
  <sheetData>
    <row r="1" spans="2:30" ht="354.75" customHeight="1" x14ac:dyDescent="0.25">
      <c r="B1" s="372" t="s">
        <v>228</v>
      </c>
      <c r="C1" s="372"/>
      <c r="D1" s="372"/>
      <c r="E1" s="372"/>
      <c r="F1" s="372"/>
      <c r="G1" s="340"/>
      <c r="H1" s="340"/>
      <c r="I1" s="340"/>
      <c r="J1" s="340"/>
      <c r="K1" s="340"/>
      <c r="L1" s="340"/>
      <c r="M1" s="340"/>
      <c r="N1" s="340"/>
      <c r="O1" s="340"/>
      <c r="P1" s="340"/>
      <c r="Q1" s="340"/>
      <c r="R1" s="340"/>
      <c r="S1" s="340"/>
      <c r="T1" s="340"/>
      <c r="U1" s="340"/>
      <c r="V1" s="340"/>
      <c r="W1" s="340"/>
      <c r="X1" s="340"/>
      <c r="Y1" s="340"/>
      <c r="Z1" s="340"/>
      <c r="AA1" s="340"/>
      <c r="AB1" s="340"/>
      <c r="AC1" s="340"/>
      <c r="AD1" s="340"/>
    </row>
    <row r="2" spans="2:30" ht="8.25" customHeight="1" x14ac:dyDescent="0.25">
      <c r="B2" s="330"/>
      <c r="C2" s="330"/>
      <c r="D2" s="330"/>
      <c r="E2" s="330"/>
      <c r="F2" s="330"/>
      <c r="G2" s="70"/>
      <c r="H2" s="70"/>
      <c r="I2" s="70"/>
      <c r="J2" s="70"/>
      <c r="K2" s="70"/>
      <c r="L2" s="70"/>
      <c r="M2" s="70"/>
      <c r="N2" s="70"/>
      <c r="O2" s="70"/>
      <c r="P2" s="70"/>
      <c r="Q2" s="70"/>
      <c r="R2" s="70"/>
      <c r="S2" s="70"/>
      <c r="T2" s="70"/>
      <c r="U2" s="70"/>
      <c r="V2" s="70"/>
      <c r="W2" s="70"/>
      <c r="X2" s="70"/>
      <c r="Y2" s="70"/>
      <c r="Z2" s="70"/>
      <c r="AA2" s="70"/>
      <c r="AB2" s="70"/>
      <c r="AC2" s="70"/>
      <c r="AD2" s="70"/>
    </row>
    <row r="3" spans="2:30" ht="8.1" customHeight="1" x14ac:dyDescent="0.25">
      <c r="B3" s="70"/>
      <c r="C3" s="69"/>
      <c r="D3" s="69"/>
      <c r="E3" s="69"/>
      <c r="F3" s="69"/>
      <c r="G3" s="69"/>
      <c r="H3" s="69"/>
    </row>
    <row r="4" spans="2:30" ht="31.9" customHeight="1" x14ac:dyDescent="0.25">
      <c r="B4" s="340" t="s">
        <v>18</v>
      </c>
      <c r="C4" s="340"/>
      <c r="D4" s="340"/>
      <c r="E4" s="340"/>
      <c r="F4" s="340"/>
      <c r="G4" s="176"/>
      <c r="H4" s="70"/>
    </row>
    <row r="5" spans="2:30" ht="21" customHeight="1" thickBot="1" x14ac:dyDescent="0.3">
      <c r="B5" s="11" t="s">
        <v>32</v>
      </c>
      <c r="C5" s="3"/>
      <c r="D5" s="3"/>
      <c r="E5" s="3"/>
      <c r="F5" s="12"/>
      <c r="G5" s="182" t="s">
        <v>131</v>
      </c>
      <c r="H5" s="344" t="s">
        <v>132</v>
      </c>
      <c r="I5" s="344"/>
    </row>
    <row r="6" spans="2:30" ht="15" customHeight="1" thickBot="1" x14ac:dyDescent="0.3">
      <c r="B6" s="177" t="s">
        <v>133</v>
      </c>
      <c r="C6" s="17"/>
      <c r="D6" s="2"/>
      <c r="E6" s="16"/>
      <c r="F6" s="31"/>
      <c r="G6" s="181"/>
      <c r="H6" s="179"/>
      <c r="I6" s="178"/>
    </row>
    <row r="7" spans="2:30" ht="15" customHeight="1" x14ac:dyDescent="0.25">
      <c r="B7" s="177"/>
      <c r="C7" s="17"/>
      <c r="D7" s="2"/>
      <c r="E7" s="16"/>
      <c r="F7" s="31"/>
      <c r="G7" s="31"/>
      <c r="H7" s="180"/>
    </row>
    <row r="8" spans="2:30" ht="15" customHeight="1" x14ac:dyDescent="0.25">
      <c r="B8" s="68"/>
      <c r="C8" s="17"/>
      <c r="D8" s="2"/>
      <c r="E8" s="16"/>
      <c r="F8" s="31"/>
      <c r="G8" s="31"/>
      <c r="H8" s="31"/>
    </row>
    <row r="9" spans="2:30" ht="123" customHeight="1" x14ac:dyDescent="0.25">
      <c r="B9" s="341" t="s">
        <v>227</v>
      </c>
      <c r="C9" s="341"/>
      <c r="D9" s="2"/>
      <c r="E9" s="371" t="s">
        <v>226</v>
      </c>
      <c r="F9" s="371"/>
      <c r="G9" s="371"/>
      <c r="H9" s="371"/>
      <c r="I9" s="371"/>
      <c r="J9" s="371"/>
      <c r="K9" s="87"/>
      <c r="L9" s="84"/>
    </row>
    <row r="10" spans="2:30" ht="15.75" x14ac:dyDescent="0.25">
      <c r="B10" s="2"/>
      <c r="C10" s="1"/>
      <c r="D10" s="2"/>
      <c r="E10" s="258" t="s">
        <v>220</v>
      </c>
      <c r="F10" s="258" t="s">
        <v>221</v>
      </c>
      <c r="G10" s="258" t="s">
        <v>222</v>
      </c>
      <c r="H10" s="258" t="s">
        <v>223</v>
      </c>
      <c r="I10" s="258" t="s">
        <v>224</v>
      </c>
      <c r="J10" s="258" t="s">
        <v>225</v>
      </c>
      <c r="K10" s="76"/>
      <c r="L10" s="76"/>
      <c r="M10" s="76"/>
      <c r="N10" s="76"/>
      <c r="O10" s="76"/>
      <c r="P10" s="76"/>
      <c r="Q10" s="76"/>
    </row>
    <row r="11" spans="2:30" ht="16.149999999999999" customHeight="1" x14ac:dyDescent="0.25">
      <c r="B11" s="102" t="s">
        <v>134</v>
      </c>
      <c r="C11" s="103" t="s">
        <v>0</v>
      </c>
      <c r="D11" s="18"/>
      <c r="E11" s="259">
        <f t="shared" ref="E11:J11" si="0">E12+E13+E14</f>
        <v>64166.999999999993</v>
      </c>
      <c r="F11" s="260">
        <f t="shared" si="0"/>
        <v>67010.999999999985</v>
      </c>
      <c r="G11" s="259">
        <f t="shared" si="0"/>
        <v>63828.110000000015</v>
      </c>
      <c r="H11" s="261">
        <f t="shared" si="0"/>
        <v>82952.98000000001</v>
      </c>
      <c r="I11" s="261">
        <f t="shared" si="0"/>
        <v>80727.155905506894</v>
      </c>
      <c r="J11" s="261">
        <f t="shared" si="0"/>
        <v>83203.016215416588</v>
      </c>
      <c r="K11" s="76"/>
      <c r="L11" s="76"/>
      <c r="M11" s="76"/>
      <c r="N11" s="76"/>
      <c r="O11" s="76"/>
      <c r="P11" s="76"/>
      <c r="Q11" s="76"/>
    </row>
    <row r="12" spans="2:30" ht="16.149999999999999" customHeight="1" x14ac:dyDescent="0.25">
      <c r="B12" s="88" t="s">
        <v>135</v>
      </c>
      <c r="C12" s="89" t="s">
        <v>0</v>
      </c>
      <c r="D12" s="18"/>
      <c r="E12" s="262">
        <f>E25</f>
        <v>61283.959999999992</v>
      </c>
      <c r="F12" s="262">
        <f>F25</f>
        <v>69017.329999999987</v>
      </c>
      <c r="G12" s="262">
        <f>G25</f>
        <v>68449.170000000013</v>
      </c>
      <c r="H12" s="262">
        <v>74960.94</v>
      </c>
      <c r="I12" s="262">
        <v>80727.155905506894</v>
      </c>
      <c r="J12" s="262">
        <v>83203.016215416588</v>
      </c>
      <c r="K12" s="76"/>
      <c r="L12" s="76"/>
      <c r="M12" s="76"/>
      <c r="N12" s="76"/>
      <c r="O12" s="76"/>
      <c r="P12" s="76"/>
      <c r="Q12" s="76"/>
    </row>
    <row r="13" spans="2:30" ht="15.75" customHeight="1" x14ac:dyDescent="0.25">
      <c r="B13" s="88" t="s">
        <v>136</v>
      </c>
      <c r="C13" s="89" t="s">
        <v>0</v>
      </c>
      <c r="D13" s="19"/>
      <c r="E13" s="263">
        <v>-10866.96</v>
      </c>
      <c r="F13" s="263">
        <v>-7506.33</v>
      </c>
      <c r="G13" s="263">
        <v>-4621.0600000000004</v>
      </c>
      <c r="H13" s="263">
        <v>6351.52</v>
      </c>
      <c r="I13" s="263">
        <v>0</v>
      </c>
      <c r="J13" s="263">
        <v>0</v>
      </c>
      <c r="K13" s="229"/>
      <c r="L13" s="76"/>
      <c r="M13" s="76"/>
      <c r="N13" s="76"/>
      <c r="O13" s="76"/>
      <c r="P13" s="76"/>
      <c r="Q13" s="76"/>
    </row>
    <row r="14" spans="2:30" ht="16.149999999999999" customHeight="1" x14ac:dyDescent="0.25">
      <c r="B14" s="88" t="s">
        <v>137</v>
      </c>
      <c r="C14" s="89" t="s">
        <v>0</v>
      </c>
      <c r="D14" s="19"/>
      <c r="E14" s="280">
        <v>13750</v>
      </c>
      <c r="F14" s="280">
        <v>5500</v>
      </c>
      <c r="G14" s="280"/>
      <c r="H14" s="280">
        <v>1640.52</v>
      </c>
      <c r="I14" s="280">
        <v>0</v>
      </c>
      <c r="J14" s="280">
        <v>0</v>
      </c>
      <c r="K14" s="229"/>
      <c r="L14" s="76"/>
      <c r="M14" s="76"/>
      <c r="N14" s="76"/>
      <c r="O14" s="76"/>
      <c r="P14" s="76"/>
      <c r="Q14" s="76"/>
    </row>
    <row r="15" spans="2:30" ht="16.149999999999999" customHeight="1" outlineLevel="1" x14ac:dyDescent="0.25">
      <c r="B15" s="239" t="s">
        <v>1</v>
      </c>
      <c r="C15" s="240"/>
      <c r="D15" s="241"/>
      <c r="E15" s="281"/>
      <c r="F15" s="281"/>
      <c r="G15" s="281"/>
      <c r="H15" s="281"/>
      <c r="I15" s="281"/>
      <c r="J15" s="282"/>
      <c r="K15" s="84"/>
      <c r="L15" s="84"/>
      <c r="M15" s="84"/>
      <c r="N15" s="84"/>
      <c r="O15" s="84"/>
      <c r="P15" s="76"/>
      <c r="Q15" s="76"/>
    </row>
    <row r="16" spans="2:30" ht="30" customHeight="1" outlineLevel="1" x14ac:dyDescent="0.25">
      <c r="B16" s="283" t="s">
        <v>138</v>
      </c>
      <c r="C16" s="103" t="s">
        <v>0</v>
      </c>
      <c r="D16" s="18"/>
      <c r="E16" s="104">
        <v>0</v>
      </c>
      <c r="F16" s="104">
        <v>0</v>
      </c>
      <c r="G16" s="84"/>
      <c r="H16" s="84"/>
      <c r="I16" s="84"/>
      <c r="J16" s="242"/>
      <c r="K16" s="277"/>
      <c r="L16" s="84"/>
      <c r="M16" s="84"/>
      <c r="N16" s="84"/>
      <c r="O16" s="84"/>
      <c r="P16" s="76"/>
      <c r="Q16" s="76"/>
    </row>
    <row r="17" spans="1:21" ht="16.149999999999999" customHeight="1" outlineLevel="1" x14ac:dyDescent="0.25">
      <c r="B17" s="278" t="s">
        <v>139</v>
      </c>
      <c r="C17" s="89" t="s">
        <v>0</v>
      </c>
      <c r="D17" s="19"/>
      <c r="E17" s="116">
        <f>E20*E102/(E102+E103)</f>
        <v>906.76245934238432</v>
      </c>
      <c r="F17" s="116">
        <f>F20*F102/(F102+F103)</f>
        <v>187.81965393157734</v>
      </c>
      <c r="G17" s="84"/>
      <c r="H17" s="84"/>
      <c r="I17" s="84"/>
      <c r="J17" s="242"/>
      <c r="K17" s="84"/>
      <c r="L17" s="84"/>
      <c r="M17" s="84"/>
      <c r="N17" s="84"/>
      <c r="O17" s="84"/>
      <c r="P17" s="76"/>
      <c r="Q17" s="76"/>
    </row>
    <row r="18" spans="1:21" ht="16.149999999999999" customHeight="1" outlineLevel="1" x14ac:dyDescent="0.25">
      <c r="B18" s="278" t="s">
        <v>140</v>
      </c>
      <c r="C18" s="89" t="s">
        <v>0</v>
      </c>
      <c r="D18" s="19"/>
      <c r="E18" s="116">
        <f>E20*E103/(E103+E102)</f>
        <v>922.30002225581688</v>
      </c>
      <c r="F18" s="116">
        <f>F20*F103/(F103+F102)</f>
        <v>310.68047840646955</v>
      </c>
      <c r="G18" s="84"/>
      <c r="H18" s="84"/>
      <c r="I18" s="84"/>
      <c r="J18" s="242"/>
      <c r="K18" s="84"/>
      <c r="L18" s="84"/>
      <c r="M18" s="84"/>
      <c r="N18" s="84"/>
      <c r="O18" s="84"/>
      <c r="P18" s="76"/>
      <c r="Q18" s="76"/>
    </row>
    <row r="19" spans="1:21" ht="16.149999999999999" customHeight="1" outlineLevel="1" x14ac:dyDescent="0.25">
      <c r="B19" s="278" t="s">
        <v>141</v>
      </c>
      <c r="C19" s="89" t="s">
        <v>0</v>
      </c>
      <c r="D19" s="19"/>
      <c r="E19" s="117">
        <f>+-E20</f>
        <v>-1829.062481598201</v>
      </c>
      <c r="F19" s="117">
        <f>-F20</f>
        <v>-498.5001323380468</v>
      </c>
      <c r="G19" s="84"/>
      <c r="H19" s="84"/>
      <c r="I19" s="84"/>
      <c r="J19" s="242"/>
      <c r="K19" s="84"/>
      <c r="L19" s="84"/>
      <c r="M19" s="84"/>
      <c r="N19" s="84"/>
      <c r="O19" s="84"/>
      <c r="P19" s="76"/>
      <c r="Q19" s="76"/>
    </row>
    <row r="20" spans="1:21" ht="16.149999999999999" customHeight="1" outlineLevel="1" x14ac:dyDescent="0.25">
      <c r="B20" s="278" t="s">
        <v>142</v>
      </c>
      <c r="C20" s="89"/>
      <c r="D20" s="19"/>
      <c r="E20" s="115">
        <f>+E21+E22+E23</f>
        <v>1829.062481598201</v>
      </c>
      <c r="F20" s="115">
        <f>+F23-E23</f>
        <v>498.5001323380468</v>
      </c>
      <c r="G20" s="84"/>
      <c r="H20" s="84"/>
      <c r="I20" s="84"/>
      <c r="J20" s="242"/>
      <c r="K20" s="84"/>
      <c r="L20" s="84"/>
      <c r="M20" s="84"/>
      <c r="N20" s="84"/>
      <c r="O20" s="84"/>
      <c r="P20" s="76"/>
      <c r="Q20" s="76"/>
    </row>
    <row r="21" spans="1:21" ht="16.149999999999999" customHeight="1" outlineLevel="1" x14ac:dyDescent="0.25">
      <c r="A21" s="76"/>
      <c r="B21" s="278" t="s">
        <v>143</v>
      </c>
      <c r="C21" s="89" t="s">
        <v>0</v>
      </c>
      <c r="D21" s="19"/>
      <c r="E21" s="117">
        <v>294.14130098174979</v>
      </c>
      <c r="F21" s="117"/>
      <c r="G21" s="84"/>
      <c r="H21" s="84"/>
      <c r="I21" s="84"/>
      <c r="J21" s="242"/>
      <c r="K21" s="84"/>
      <c r="L21" s="84"/>
      <c r="M21" s="84"/>
      <c r="N21" s="84"/>
      <c r="O21" s="84"/>
      <c r="P21" s="76"/>
      <c r="Q21" s="76"/>
    </row>
    <row r="22" spans="1:21" outlineLevel="1" x14ac:dyDescent="0.25">
      <c r="B22" s="278" t="s">
        <v>144</v>
      </c>
      <c r="C22" s="89" t="s">
        <v>0</v>
      </c>
      <c r="E22" s="228">
        <f>+((142.77-35.69)*35643.2023712329/1000*(7832.87/(7832.87+115105.03)-7370.07698630137/(7370.07698630137+88612.6160263562)))</f>
        <v>-49.889428566501209</v>
      </c>
      <c r="F22" s="117"/>
      <c r="G22" s="84"/>
      <c r="H22" s="84"/>
      <c r="I22" s="84"/>
      <c r="J22" s="242"/>
      <c r="K22" s="84"/>
      <c r="L22" s="84"/>
      <c r="M22" s="84"/>
      <c r="N22" s="84"/>
      <c r="O22" s="84"/>
      <c r="P22" s="76"/>
      <c r="Q22" s="76"/>
    </row>
    <row r="23" spans="1:21" ht="29.25" customHeight="1" outlineLevel="1" x14ac:dyDescent="0.25">
      <c r="B23" s="279" t="s">
        <v>145</v>
      </c>
      <c r="C23" s="89" t="s">
        <v>0</v>
      </c>
      <c r="E23" s="117">
        <f>+(142.77-142.77*0.25)*60763.4036185144/1000*((10413676/6277847.07333333*24956.9732357301+6792200/523431*2738.13332328323)/(10413676/6277847.07333333*24956.9732357301+20571368/23252511.026*105902.092917539+6792200/523431*2738.13332328323)-(24956.9732357301+2738.13332328323)/(24956.9732357301+105902.092917539+2738.13332328323))</f>
        <v>1584.8106091829525</v>
      </c>
      <c r="F23" s="117">
        <f>+(142.77-142.77*0.25)*60763.4036185144/1000*((73840.2230207305+28556.9604167919)/(73840.2230207305+91721.6377630208+28556.9604167919)-(24956.9732357301+2738.13332328323)/(24956.9732357301+105902.092917539+2738.13332328323))</f>
        <v>2083.3107415209993</v>
      </c>
      <c r="G23" s="84"/>
      <c r="H23" s="84"/>
      <c r="I23" s="84"/>
      <c r="J23" s="242"/>
      <c r="K23" s="84"/>
      <c r="L23" s="84"/>
      <c r="M23" s="84"/>
      <c r="N23" s="84"/>
      <c r="O23" s="84"/>
      <c r="P23" s="76"/>
      <c r="Q23" s="76"/>
    </row>
    <row r="24" spans="1:21" ht="16.149999999999999" customHeight="1" outlineLevel="1" x14ac:dyDescent="0.25">
      <c r="B24" s="243"/>
      <c r="C24" s="9"/>
      <c r="D24" s="19"/>
      <c r="E24" s="244"/>
      <c r="F24" s="244"/>
      <c r="G24" s="244"/>
      <c r="H24" s="84"/>
      <c r="I24" s="84"/>
      <c r="J24" s="234"/>
      <c r="K24" s="84"/>
      <c r="L24" s="84"/>
      <c r="M24" s="84"/>
      <c r="N24" s="84"/>
      <c r="O24" s="84"/>
      <c r="P24" s="73"/>
      <c r="Q24" s="66"/>
    </row>
    <row r="25" spans="1:21" ht="16.149999999999999" customHeight="1" outlineLevel="1" x14ac:dyDescent="0.25">
      <c r="B25" s="283" t="s">
        <v>146</v>
      </c>
      <c r="C25" s="103" t="s">
        <v>0</v>
      </c>
      <c r="D25" s="18"/>
      <c r="E25" s="321">
        <f>E26+E28</f>
        <v>61283.959999999992</v>
      </c>
      <c r="F25" s="321">
        <f>F26+F28</f>
        <v>69017.329999999987</v>
      </c>
      <c r="G25" s="322">
        <f>G26+G28</f>
        <v>68449.170000000013</v>
      </c>
      <c r="H25" s="310"/>
      <c r="I25" s="310"/>
      <c r="J25" s="312"/>
      <c r="K25" s="84"/>
      <c r="L25" s="84"/>
      <c r="M25" s="84"/>
      <c r="N25" s="84"/>
      <c r="O25" s="84"/>
      <c r="P25" s="73"/>
      <c r="Q25" s="66"/>
    </row>
    <row r="26" spans="1:21" ht="25.5" outlineLevel="1" x14ac:dyDescent="0.25">
      <c r="B26" s="284" t="s">
        <v>147</v>
      </c>
      <c r="C26" s="89" t="s">
        <v>0</v>
      </c>
      <c r="D26" s="313"/>
      <c r="E26" s="108">
        <v>41364.908109259908</v>
      </c>
      <c r="F26" s="108">
        <v>55566.797349652676</v>
      </c>
      <c r="G26" s="108">
        <v>55415.772418638371</v>
      </c>
      <c r="H26" s="345"/>
      <c r="I26" s="345"/>
      <c r="J26" s="358"/>
      <c r="K26" s="84"/>
      <c r="L26" s="84"/>
      <c r="M26" s="84"/>
      <c r="N26" s="84"/>
      <c r="O26" s="84"/>
      <c r="P26" s="85"/>
      <c r="Q26" s="66"/>
    </row>
    <row r="27" spans="1:21" outlineLevel="1" x14ac:dyDescent="0.25">
      <c r="B27" s="285" t="s">
        <v>148</v>
      </c>
      <c r="C27" s="314" t="s">
        <v>0</v>
      </c>
      <c r="D27" s="313"/>
      <c r="E27" s="109">
        <v>11442.758001640294</v>
      </c>
      <c r="F27" s="109">
        <v>12868.139507607309</v>
      </c>
      <c r="G27" s="109">
        <v>13447.641108680345</v>
      </c>
      <c r="H27" s="345"/>
      <c r="I27" s="345"/>
      <c r="J27" s="358"/>
      <c r="K27" s="84"/>
      <c r="L27" s="84"/>
      <c r="M27" s="84"/>
      <c r="N27" s="84"/>
      <c r="O27" s="84"/>
    </row>
    <row r="28" spans="1:21" ht="27.6" customHeight="1" outlineLevel="1" x14ac:dyDescent="0.25">
      <c r="B28" s="286" t="s">
        <v>149</v>
      </c>
      <c r="C28" s="89" t="s">
        <v>0</v>
      </c>
      <c r="D28" s="313"/>
      <c r="E28" s="108">
        <v>19919.051890740084</v>
      </c>
      <c r="F28" s="108">
        <v>13450.532650347319</v>
      </c>
      <c r="G28" s="108">
        <v>13033.397581361642</v>
      </c>
      <c r="H28" s="345"/>
      <c r="I28" s="345"/>
      <c r="J28" s="358"/>
      <c r="K28" s="84"/>
      <c r="L28" s="84"/>
      <c r="M28" s="84"/>
      <c r="N28" s="84"/>
      <c r="O28" s="84"/>
      <c r="R28" s="65"/>
      <c r="S28" s="65"/>
      <c r="T28" s="65"/>
      <c r="U28" s="4"/>
    </row>
    <row r="29" spans="1:21" outlineLevel="1" x14ac:dyDescent="0.25">
      <c r="B29" s="287" t="s">
        <v>150</v>
      </c>
      <c r="C29" s="314" t="s">
        <v>0</v>
      </c>
      <c r="D29" s="313"/>
      <c r="E29" s="111">
        <v>1142.3784791798835</v>
      </c>
      <c r="F29" s="111">
        <v>745.08210152363677</v>
      </c>
      <c r="G29" s="111">
        <v>670.20827246082672</v>
      </c>
      <c r="H29" s="345"/>
      <c r="I29" s="345"/>
      <c r="J29" s="358"/>
      <c r="K29" s="84"/>
      <c r="L29" s="84"/>
      <c r="M29" s="84"/>
      <c r="N29" s="84"/>
      <c r="O29" s="84"/>
      <c r="R29" s="66"/>
      <c r="S29" s="66"/>
      <c r="T29" s="66"/>
      <c r="U29" s="66"/>
    </row>
    <row r="30" spans="1:21" outlineLevel="1" x14ac:dyDescent="0.25">
      <c r="B30" s="287" t="s">
        <v>151</v>
      </c>
      <c r="C30" s="314" t="s">
        <v>0</v>
      </c>
      <c r="D30" s="313"/>
      <c r="E30" s="323">
        <f t="shared" ref="E30" si="1">+E28-E29</f>
        <v>18776.673411560201</v>
      </c>
      <c r="F30" s="110">
        <f>+F28-F29</f>
        <v>12705.450548823683</v>
      </c>
      <c r="G30" s="324">
        <f>+G28-G29</f>
        <v>12363.189308900815</v>
      </c>
      <c r="H30" s="345"/>
      <c r="I30" s="345"/>
      <c r="J30" s="358"/>
      <c r="K30" s="84"/>
      <c r="L30" s="84"/>
      <c r="M30" s="84"/>
      <c r="N30" s="84"/>
      <c r="O30" s="84"/>
      <c r="R30" s="66"/>
      <c r="S30" s="66"/>
      <c r="T30" s="66"/>
      <c r="U30" s="66"/>
    </row>
    <row r="31" spans="1:21" outlineLevel="1" x14ac:dyDescent="0.25">
      <c r="B31" s="288" t="s">
        <v>152</v>
      </c>
      <c r="C31" s="314" t="s">
        <v>0</v>
      </c>
      <c r="D31" s="313"/>
      <c r="E31" s="325">
        <f>+E32+E33</f>
        <v>13943.336323518059</v>
      </c>
      <c r="F31" s="107">
        <f>+F32+F33</f>
        <v>9415.3728552431239</v>
      </c>
      <c r="G31" s="326">
        <f>+G32+G33</f>
        <v>9123.3783069531491</v>
      </c>
      <c r="H31" s="345"/>
      <c r="I31" s="345"/>
      <c r="J31" s="358"/>
      <c r="K31" s="84"/>
      <c r="L31" s="84"/>
      <c r="M31" s="84"/>
      <c r="N31" s="84"/>
      <c r="O31" s="84"/>
      <c r="R31" s="66"/>
      <c r="S31" s="66"/>
      <c r="T31" s="66"/>
      <c r="U31" s="66"/>
    </row>
    <row r="32" spans="1:21" outlineLevel="1" x14ac:dyDescent="0.25">
      <c r="B32" s="285" t="s">
        <v>153</v>
      </c>
      <c r="C32" s="314" t="s">
        <v>0</v>
      </c>
      <c r="D32" s="313"/>
      <c r="E32" s="323">
        <f>E29*E37</f>
        <v>799.66493542591843</v>
      </c>
      <c r="F32" s="110">
        <f>F29*F37</f>
        <v>521.55747106654576</v>
      </c>
      <c r="G32" s="324">
        <f>G29*G37</f>
        <v>469.14579072257868</v>
      </c>
      <c r="H32" s="345"/>
      <c r="I32" s="345"/>
      <c r="J32" s="358"/>
      <c r="K32" s="84"/>
      <c r="L32" s="84"/>
      <c r="M32" s="84"/>
      <c r="N32" s="84"/>
      <c r="O32" s="84"/>
      <c r="R32" s="66"/>
      <c r="S32" s="66"/>
      <c r="T32" s="66"/>
      <c r="U32" s="66"/>
    </row>
    <row r="33" spans="2:21" outlineLevel="1" x14ac:dyDescent="0.25">
      <c r="B33" s="285" t="s">
        <v>154</v>
      </c>
      <c r="C33" s="314" t="s">
        <v>0</v>
      </c>
      <c r="D33" s="313"/>
      <c r="E33" s="323">
        <f>+E30*E37</f>
        <v>13143.67138809214</v>
      </c>
      <c r="F33" s="110">
        <f>+F30*F37</f>
        <v>8893.8153841765779</v>
      </c>
      <c r="G33" s="324">
        <f>+G30*G37</f>
        <v>8654.2325162305697</v>
      </c>
      <c r="H33" s="345"/>
      <c r="I33" s="345"/>
      <c r="J33" s="358"/>
      <c r="K33" s="84"/>
      <c r="L33" s="84"/>
      <c r="M33" s="84"/>
      <c r="N33" s="84"/>
      <c r="O33" s="84"/>
      <c r="P33" s="53"/>
      <c r="Q33" s="54"/>
      <c r="R33" s="54"/>
      <c r="S33" s="53"/>
      <c r="T33" s="54"/>
      <c r="U33" s="4"/>
    </row>
    <row r="34" spans="2:21" outlineLevel="1" x14ac:dyDescent="0.25">
      <c r="B34" s="288" t="s">
        <v>155</v>
      </c>
      <c r="C34" s="314" t="s">
        <v>0</v>
      </c>
      <c r="D34" s="313"/>
      <c r="E34" s="325">
        <f>+E35+E36</f>
        <v>5975.7155672220269</v>
      </c>
      <c r="F34" s="107">
        <f>+F35+F36</f>
        <v>4035.1597951041958</v>
      </c>
      <c r="G34" s="326">
        <f>+G35+G36</f>
        <v>3910.0192744084939</v>
      </c>
      <c r="H34" s="345"/>
      <c r="I34" s="345"/>
      <c r="J34" s="358"/>
      <c r="K34" s="84"/>
      <c r="L34" s="84"/>
      <c r="M34" s="84"/>
      <c r="N34" s="84"/>
      <c r="O34" s="84"/>
      <c r="P34" s="65"/>
      <c r="Q34" s="66"/>
      <c r="R34" s="66"/>
      <c r="S34" s="66"/>
      <c r="T34" s="66"/>
      <c r="U34" s="66"/>
    </row>
    <row r="35" spans="2:21" outlineLevel="1" x14ac:dyDescent="0.25">
      <c r="B35" s="285" t="s">
        <v>153</v>
      </c>
      <c r="C35" s="314" t="s">
        <v>0</v>
      </c>
      <c r="D35" s="313"/>
      <c r="E35" s="323">
        <f t="shared" ref="E35:G36" si="2">+E29-E32</f>
        <v>342.71354375396504</v>
      </c>
      <c r="F35" s="110">
        <f t="shared" si="2"/>
        <v>223.52463045709101</v>
      </c>
      <c r="G35" s="324">
        <f t="shared" si="2"/>
        <v>201.06248173824804</v>
      </c>
      <c r="H35" s="345"/>
      <c r="I35" s="345"/>
      <c r="J35" s="358"/>
      <c r="O35" s="65"/>
      <c r="P35" s="65"/>
      <c r="Q35" s="66"/>
      <c r="R35" s="66"/>
      <c r="S35" s="66"/>
      <c r="T35" s="66"/>
      <c r="U35" s="66"/>
    </row>
    <row r="36" spans="2:21" outlineLevel="1" x14ac:dyDescent="0.25">
      <c r="B36" s="285" t="s">
        <v>154</v>
      </c>
      <c r="C36" s="314" t="s">
        <v>0</v>
      </c>
      <c r="D36" s="313"/>
      <c r="E36" s="323">
        <f t="shared" si="2"/>
        <v>5633.0020234680615</v>
      </c>
      <c r="F36" s="110">
        <f t="shared" si="2"/>
        <v>3811.6351646471048</v>
      </c>
      <c r="G36" s="324">
        <f t="shared" si="2"/>
        <v>3708.9567926702457</v>
      </c>
      <c r="H36" s="345"/>
      <c r="I36" s="345"/>
      <c r="J36" s="358"/>
      <c r="O36" s="53"/>
      <c r="P36" s="53"/>
      <c r="Q36" s="54"/>
      <c r="R36" s="54"/>
      <c r="S36" s="53"/>
      <c r="T36" s="54"/>
      <c r="U36" s="4"/>
    </row>
    <row r="37" spans="2:21" outlineLevel="1" x14ac:dyDescent="0.25">
      <c r="B37" s="285" t="s">
        <v>156</v>
      </c>
      <c r="C37" s="314" t="s">
        <v>2</v>
      </c>
      <c r="D37" s="315"/>
      <c r="E37" s="112">
        <v>0.7</v>
      </c>
      <c r="F37" s="112">
        <v>0.7</v>
      </c>
      <c r="G37" s="112">
        <v>0.7</v>
      </c>
      <c r="H37" s="345"/>
      <c r="I37" s="345"/>
      <c r="J37" s="358"/>
    </row>
    <row r="38" spans="2:21" outlineLevel="1" x14ac:dyDescent="0.25">
      <c r="B38" s="285" t="s">
        <v>157</v>
      </c>
      <c r="C38" s="314" t="s">
        <v>2</v>
      </c>
      <c r="D38" s="315"/>
      <c r="E38" s="327">
        <f>1-E37</f>
        <v>0.30000000000000004</v>
      </c>
      <c r="F38" s="328">
        <f>1-F37</f>
        <v>0.30000000000000004</v>
      </c>
      <c r="G38" s="329">
        <f>1-G37</f>
        <v>0.30000000000000004</v>
      </c>
      <c r="H38" s="345"/>
      <c r="I38" s="345"/>
      <c r="J38" s="358"/>
    </row>
    <row r="39" spans="2:21" outlineLevel="1" x14ac:dyDescent="0.25">
      <c r="B39" s="245" t="s">
        <v>1</v>
      </c>
      <c r="C39" s="316"/>
      <c r="D39" s="317"/>
      <c r="E39" s="311"/>
      <c r="F39" s="311"/>
      <c r="G39" s="311"/>
      <c r="H39" s="311"/>
      <c r="I39" s="311"/>
      <c r="J39" s="246"/>
    </row>
    <row r="40" spans="2:21" outlineLevel="3" x14ac:dyDescent="0.25">
      <c r="B40" s="289" t="s">
        <v>158</v>
      </c>
      <c r="C40" s="89" t="s">
        <v>0</v>
      </c>
      <c r="D40" s="318"/>
      <c r="E40" s="319">
        <f t="shared" ref="E40" si="3">E41+E43</f>
        <v>-10866.96</v>
      </c>
      <c r="F40" s="319">
        <f>F41+F43</f>
        <v>-7506.33</v>
      </c>
      <c r="G40" s="319">
        <f>G41+G43</f>
        <v>-4621.0600000000004</v>
      </c>
      <c r="H40" s="355"/>
      <c r="I40" s="355"/>
      <c r="J40" s="359"/>
    </row>
    <row r="41" spans="2:21" outlineLevel="3" x14ac:dyDescent="0.25">
      <c r="B41" s="342" t="s">
        <v>159</v>
      </c>
      <c r="C41" s="314" t="s">
        <v>0</v>
      </c>
      <c r="D41" s="18"/>
      <c r="E41" s="110">
        <f>E13*E42</f>
        <v>-3518.0706121712838</v>
      </c>
      <c r="F41" s="110">
        <f>F13*F42</f>
        <v>-3361.0512332800963</v>
      </c>
      <c r="G41" s="110">
        <f>G13*G42</f>
        <v>-1689.6882988455354</v>
      </c>
      <c r="H41" s="356"/>
      <c r="I41" s="356"/>
      <c r="J41" s="360"/>
    </row>
    <row r="42" spans="2:21" outlineLevel="3" x14ac:dyDescent="0.25">
      <c r="B42" s="342"/>
      <c r="C42" s="314" t="s">
        <v>2</v>
      </c>
      <c r="D42" s="18"/>
      <c r="E42" s="113">
        <f>1-E44</f>
        <v>0.32374009034461193</v>
      </c>
      <c r="F42" s="113">
        <f>1-F44</f>
        <v>0.44776225309573336</v>
      </c>
      <c r="G42" s="113">
        <f>1-G44</f>
        <v>0.36564950440927735</v>
      </c>
      <c r="H42" s="356"/>
      <c r="I42" s="356"/>
      <c r="J42" s="360"/>
    </row>
    <row r="43" spans="2:21" outlineLevel="3" x14ac:dyDescent="0.25">
      <c r="B43" s="342" t="s">
        <v>160</v>
      </c>
      <c r="C43" s="314" t="s">
        <v>0</v>
      </c>
      <c r="D43" s="18"/>
      <c r="E43" s="110">
        <f>E13*E44</f>
        <v>-7348.8893878287154</v>
      </c>
      <c r="F43" s="110">
        <f>F13*F44</f>
        <v>-4145.2787667199036</v>
      </c>
      <c r="G43" s="110">
        <f>G13*G44</f>
        <v>-2931.371701154465</v>
      </c>
      <c r="H43" s="356"/>
      <c r="I43" s="356"/>
      <c r="J43" s="360"/>
    </row>
    <row r="44" spans="2:21" outlineLevel="3" x14ac:dyDescent="0.25">
      <c r="B44" s="343"/>
      <c r="C44" s="247" t="s">
        <v>2</v>
      </c>
      <c r="D44" s="248"/>
      <c r="E44" s="249">
        <f>E28/(E28+((E69*E79+(E124-E128)*E98/1000)/(E102+E105+E103)*1000)*E105/1000+E14*E105/(E105+E102+E103))</f>
        <v>0.67625990965538807</v>
      </c>
      <c r="F44" s="249">
        <f>F28/(F28+((F69*F79+(F124-F128)*F98/1000)/(F102+F105+F103)*1000)*F105/1000+F14*F105/(F105+F102+F103))</f>
        <v>0.55223774690426664</v>
      </c>
      <c r="G44" s="249">
        <f>G28/(G28+((G69*G79+(G124-G128)*G98/1000)/(G102+G105+G103)*1000)*G105/1000+G14*G105/(G105+G102+G103))</f>
        <v>0.63435049559072265</v>
      </c>
      <c r="H44" s="357"/>
      <c r="I44" s="357"/>
      <c r="J44" s="361"/>
    </row>
    <row r="45" spans="2:21" outlineLevel="3" x14ac:dyDescent="0.25">
      <c r="B45" s="335" t="s">
        <v>1</v>
      </c>
      <c r="C45" s="316"/>
      <c r="D45" s="317"/>
      <c r="J45" s="234"/>
    </row>
    <row r="46" spans="2:21" outlineLevel="1" x14ac:dyDescent="0.25">
      <c r="B46" s="292" t="s">
        <v>161</v>
      </c>
      <c r="C46" s="250" t="s">
        <v>0</v>
      </c>
      <c r="D46" s="251"/>
      <c r="E46" s="252">
        <f>E47+E49</f>
        <v>50416.999999999985</v>
      </c>
      <c r="F46" s="252">
        <f>F47+F49</f>
        <v>61511</v>
      </c>
      <c r="G46" s="252">
        <f>G47+G49</f>
        <v>63828.110000000015</v>
      </c>
      <c r="H46" s="252"/>
      <c r="I46" s="252"/>
      <c r="J46" s="253"/>
    </row>
    <row r="47" spans="2:21" ht="25.5" outlineLevel="1" x14ac:dyDescent="0.25">
      <c r="B47" s="284" t="s">
        <v>162</v>
      </c>
      <c r="C47" s="89" t="s">
        <v>0</v>
      </c>
      <c r="D47" s="313"/>
      <c r="E47" s="118">
        <f>E26+E41</f>
        <v>37846.837497088622</v>
      </c>
      <c r="F47" s="118">
        <f>F26+F41</f>
        <v>52205.746116372582</v>
      </c>
      <c r="G47" s="118">
        <f>G26+G41</f>
        <v>53726.084119792838</v>
      </c>
      <c r="H47" s="362"/>
      <c r="I47" s="363"/>
      <c r="J47" s="364"/>
    </row>
    <row r="48" spans="2:21" outlineLevel="1" x14ac:dyDescent="0.25">
      <c r="B48" s="285" t="s">
        <v>148</v>
      </c>
      <c r="C48" s="314" t="s">
        <v>0</v>
      </c>
      <c r="D48" s="313"/>
      <c r="E48" s="116">
        <f>E27</f>
        <v>11442.758001640294</v>
      </c>
      <c r="F48" s="116">
        <f>F27</f>
        <v>12868.139507607309</v>
      </c>
      <c r="G48" s="116">
        <f>G27</f>
        <v>13447.641108680345</v>
      </c>
      <c r="H48" s="365"/>
      <c r="I48" s="366"/>
      <c r="J48" s="367"/>
    </row>
    <row r="49" spans="2:14" outlineLevel="1" x14ac:dyDescent="0.25">
      <c r="B49" s="286" t="s">
        <v>149</v>
      </c>
      <c r="C49" s="89" t="s">
        <v>0</v>
      </c>
      <c r="D49" s="313"/>
      <c r="E49" s="118">
        <f>E28+E43</f>
        <v>12570.162502911367</v>
      </c>
      <c r="F49" s="118">
        <f>F28+F43</f>
        <v>9305.2538836274143</v>
      </c>
      <c r="G49" s="118">
        <f>G28+G43</f>
        <v>10102.025880207177</v>
      </c>
      <c r="H49" s="365"/>
      <c r="I49" s="366"/>
      <c r="J49" s="367"/>
    </row>
    <row r="50" spans="2:14" outlineLevel="1" x14ac:dyDescent="0.25">
      <c r="B50" s="287" t="s">
        <v>163</v>
      </c>
      <c r="C50" s="314" t="s">
        <v>0</v>
      </c>
      <c r="D50" s="313"/>
      <c r="E50" s="114">
        <f>E49/E28*E29</f>
        <v>720.91197923910579</v>
      </c>
      <c r="F50" s="114">
        <f>F49/F28*F29</f>
        <v>515.45751376954343</v>
      </c>
      <c r="G50" s="114">
        <f>G49/G28*G29</f>
        <v>519.47017431665597</v>
      </c>
      <c r="H50" s="365"/>
      <c r="I50" s="366"/>
      <c r="J50" s="367"/>
    </row>
    <row r="51" spans="2:14" outlineLevel="1" x14ac:dyDescent="0.25">
      <c r="B51" s="287" t="s">
        <v>164</v>
      </c>
      <c r="C51" s="314" t="s">
        <v>0</v>
      </c>
      <c r="D51" s="313"/>
      <c r="E51" s="114">
        <f>+E49-E50</f>
        <v>11849.250523672261</v>
      </c>
      <c r="F51" s="114">
        <f>+F49-F50</f>
        <v>8789.7963698578715</v>
      </c>
      <c r="G51" s="114">
        <f>+G49-G50</f>
        <v>9582.5557058905215</v>
      </c>
      <c r="H51" s="365"/>
      <c r="I51" s="366"/>
      <c r="J51" s="367"/>
    </row>
    <row r="52" spans="2:14" outlineLevel="1" x14ac:dyDescent="0.25">
      <c r="B52" s="286" t="s">
        <v>165</v>
      </c>
      <c r="C52" s="89" t="s">
        <v>0</v>
      </c>
      <c r="E52" s="118">
        <f>+E53+E54</f>
        <v>8799.1137520379561</v>
      </c>
      <c r="F52" s="118">
        <f>+F53+F54</f>
        <v>6513.6777185391893</v>
      </c>
      <c r="G52" s="118">
        <f>+G53+G54</f>
        <v>7071.4181161450233</v>
      </c>
      <c r="H52" s="365"/>
      <c r="I52" s="366"/>
      <c r="J52" s="367"/>
    </row>
    <row r="53" spans="2:14" outlineLevel="1" x14ac:dyDescent="0.25">
      <c r="B53" s="285" t="s">
        <v>166</v>
      </c>
      <c r="C53" s="314" t="s">
        <v>0</v>
      </c>
      <c r="D53" s="315"/>
      <c r="E53" s="119">
        <f>E51*E37</f>
        <v>8294.475366570583</v>
      </c>
      <c r="F53" s="119">
        <f>F51*F37</f>
        <v>6152.8574589005093</v>
      </c>
      <c r="G53" s="119">
        <f>G51*G37</f>
        <v>6707.7889941233643</v>
      </c>
      <c r="H53" s="365"/>
      <c r="I53" s="366"/>
      <c r="J53" s="367"/>
    </row>
    <row r="54" spans="2:14" outlineLevel="1" x14ac:dyDescent="0.25">
      <c r="B54" s="285" t="s">
        <v>167</v>
      </c>
      <c r="C54" s="314" t="s">
        <v>0</v>
      </c>
      <c r="D54" s="315"/>
      <c r="E54" s="119">
        <f>E50*E37</f>
        <v>504.63838546737401</v>
      </c>
      <c r="F54" s="119">
        <f>F50*F37</f>
        <v>360.8202596386804</v>
      </c>
      <c r="G54" s="119">
        <f>G50*G37</f>
        <v>363.62912202165916</v>
      </c>
      <c r="H54" s="365"/>
      <c r="I54" s="366"/>
      <c r="J54" s="367"/>
      <c r="K54" s="4"/>
      <c r="L54" s="4"/>
      <c r="N54" s="78"/>
    </row>
    <row r="55" spans="2:14" outlineLevel="1" x14ac:dyDescent="0.25">
      <c r="B55" s="286" t="s">
        <v>168</v>
      </c>
      <c r="C55" s="314" t="s">
        <v>0</v>
      </c>
      <c r="D55" s="315"/>
      <c r="E55" s="118">
        <f>+E57+E56</f>
        <v>3771.0487508734095</v>
      </c>
      <c r="F55" s="118">
        <f>+F57+F56</f>
        <v>2791.576165088225</v>
      </c>
      <c r="G55" s="118">
        <f>+G57+G56</f>
        <v>3030.6077640621538</v>
      </c>
      <c r="H55" s="365"/>
      <c r="I55" s="366"/>
      <c r="J55" s="367"/>
      <c r="K55" s="4"/>
      <c r="L55" s="4"/>
      <c r="N55" s="78"/>
    </row>
    <row r="56" spans="2:14" outlineLevel="1" x14ac:dyDescent="0.25">
      <c r="B56" s="285" t="s">
        <v>169</v>
      </c>
      <c r="C56" s="314" t="s">
        <v>0</v>
      </c>
      <c r="D56" s="315"/>
      <c r="E56" s="119">
        <f>+E51-E53</f>
        <v>3554.7751571016779</v>
      </c>
      <c r="F56" s="119">
        <f>+F51-F53</f>
        <v>2636.9389109573622</v>
      </c>
      <c r="G56" s="119">
        <f>+G51-G53</f>
        <v>2874.7667117671572</v>
      </c>
      <c r="H56" s="365"/>
      <c r="I56" s="366"/>
      <c r="J56" s="367"/>
      <c r="K56" s="4"/>
      <c r="L56" s="4"/>
    </row>
    <row r="57" spans="2:14" outlineLevel="1" x14ac:dyDescent="0.25">
      <c r="B57" s="285" t="s">
        <v>170</v>
      </c>
      <c r="C57" s="314" t="s">
        <v>0</v>
      </c>
      <c r="D57" s="315"/>
      <c r="E57" s="119">
        <f>+E50-E54</f>
        <v>216.27359377173178</v>
      </c>
      <c r="F57" s="119">
        <f>+F50-F54</f>
        <v>154.63725413086303</v>
      </c>
      <c r="G57" s="119">
        <f>+G50-G54</f>
        <v>155.84105229499681</v>
      </c>
      <c r="H57" s="368"/>
      <c r="I57" s="369"/>
      <c r="J57" s="370"/>
      <c r="K57" s="4"/>
      <c r="L57" s="4"/>
    </row>
    <row r="58" spans="2:14" hidden="1" outlineLevel="1" x14ac:dyDescent="0.25">
      <c r="B58" s="245" t="s">
        <v>1</v>
      </c>
      <c r="C58" s="316"/>
      <c r="D58" s="320"/>
      <c r="E58" s="52"/>
      <c r="F58" s="52"/>
      <c r="G58" s="52"/>
      <c r="H58" s="254"/>
      <c r="I58" s="254"/>
      <c r="J58" s="254"/>
      <c r="K58" s="4"/>
      <c r="L58" s="4"/>
    </row>
    <row r="59" spans="2:14" ht="35.450000000000003" hidden="1" customHeight="1" outlineLevel="1" x14ac:dyDescent="0.25">
      <c r="B59" s="336" t="s">
        <v>171</v>
      </c>
      <c r="C59" s="337" t="s">
        <v>0</v>
      </c>
      <c r="D59" s="18"/>
      <c r="E59" s="52"/>
      <c r="F59" s="52"/>
      <c r="G59" s="52"/>
      <c r="H59" s="254"/>
      <c r="I59" s="254"/>
      <c r="J59" s="254"/>
      <c r="K59" s="4"/>
      <c r="L59" s="4"/>
    </row>
    <row r="60" spans="2:14" hidden="1" outlineLevel="1" x14ac:dyDescent="0.25">
      <c r="B60" s="338" t="s">
        <v>172</v>
      </c>
      <c r="C60" s="339" t="s">
        <v>0</v>
      </c>
      <c r="D60" s="18"/>
      <c r="E60" s="52"/>
      <c r="F60" s="52"/>
      <c r="G60" s="52"/>
      <c r="H60" s="254"/>
      <c r="I60" s="254"/>
      <c r="J60" s="254"/>
      <c r="K60" s="4"/>
      <c r="L60" s="4"/>
    </row>
    <row r="61" spans="2:14" hidden="1" outlineLevel="1" x14ac:dyDescent="0.25">
      <c r="B61" s="338" t="s">
        <v>173</v>
      </c>
      <c r="C61" s="339" t="s">
        <v>0</v>
      </c>
      <c r="D61" s="18"/>
      <c r="E61" s="52"/>
      <c r="F61" s="52"/>
      <c r="G61" s="52"/>
      <c r="H61" s="254"/>
      <c r="I61" s="254"/>
      <c r="J61" s="254"/>
      <c r="K61" s="4"/>
      <c r="L61" s="4"/>
    </row>
    <row r="62" spans="2:14" outlineLevel="1" x14ac:dyDescent="0.25">
      <c r="B62" s="243"/>
      <c r="C62" s="9"/>
      <c r="D62" s="19"/>
      <c r="E62" s="52"/>
      <c r="F62" s="52"/>
      <c r="G62" s="52"/>
      <c r="H62" s="52"/>
      <c r="I62" s="52"/>
      <c r="J62" s="254"/>
      <c r="K62" s="55"/>
      <c r="L62" s="55"/>
    </row>
    <row r="63" spans="2:14" ht="25.5" outlineLevel="1" x14ac:dyDescent="0.25">
      <c r="B63" s="283" t="s">
        <v>174</v>
      </c>
      <c r="C63" s="103" t="s">
        <v>0</v>
      </c>
      <c r="D63" s="18"/>
      <c r="E63" s="110"/>
      <c r="F63" s="110"/>
      <c r="G63" s="110"/>
      <c r="H63" s="346"/>
      <c r="I63" s="347"/>
      <c r="J63" s="348"/>
      <c r="K63" s="4"/>
      <c r="L63" s="4"/>
    </row>
    <row r="64" spans="2:14" outlineLevel="1" x14ac:dyDescent="0.25">
      <c r="B64" s="283" t="s">
        <v>175</v>
      </c>
      <c r="C64" s="103" t="s">
        <v>0</v>
      </c>
      <c r="D64" s="18"/>
      <c r="E64" s="120">
        <f>E65+E66</f>
        <v>41364.908109259908</v>
      </c>
      <c r="F64" s="120">
        <f>F65+F66</f>
        <v>55566.797349652676</v>
      </c>
      <c r="G64" s="120">
        <f>G65+G66</f>
        <v>55415.772418638371</v>
      </c>
      <c r="H64" s="349"/>
      <c r="I64" s="350"/>
      <c r="J64" s="351"/>
      <c r="K64" s="4"/>
      <c r="L64" s="4"/>
    </row>
    <row r="65" spans="2:13" outlineLevel="1" x14ac:dyDescent="0.25">
      <c r="B65" s="285" t="s">
        <v>148</v>
      </c>
      <c r="C65" s="89" t="s">
        <v>0</v>
      </c>
      <c r="D65" s="18"/>
      <c r="E65" s="120">
        <f>E27</f>
        <v>11442.758001640294</v>
      </c>
      <c r="F65" s="120">
        <f>F27</f>
        <v>12868.139507607309</v>
      </c>
      <c r="G65" s="120">
        <f>G27</f>
        <v>13447.641108680345</v>
      </c>
      <c r="H65" s="349"/>
      <c r="I65" s="350"/>
      <c r="J65" s="351"/>
      <c r="K65" s="4"/>
      <c r="L65" s="4"/>
      <c r="M65" s="86"/>
    </row>
    <row r="66" spans="2:13" ht="16.149999999999999" customHeight="1" outlineLevel="1" x14ac:dyDescent="0.25">
      <c r="B66" s="285" t="s">
        <v>176</v>
      </c>
      <c r="C66" s="89" t="s">
        <v>0</v>
      </c>
      <c r="D66" s="18"/>
      <c r="E66" s="120">
        <f>E26-E27</f>
        <v>29922.150107619615</v>
      </c>
      <c r="F66" s="120">
        <f>F26-F27</f>
        <v>42698.657842045366</v>
      </c>
      <c r="G66" s="120">
        <f>G26-G27</f>
        <v>41968.131309958029</v>
      </c>
      <c r="H66" s="349"/>
      <c r="I66" s="350"/>
      <c r="J66" s="351"/>
      <c r="K66" s="4"/>
      <c r="L66" s="4"/>
    </row>
    <row r="67" spans="2:13" ht="15" customHeight="1" outlineLevel="1" x14ac:dyDescent="0.25">
      <c r="B67" s="290"/>
      <c r="C67" s="89"/>
      <c r="D67" s="18"/>
      <c r="E67" s="121"/>
      <c r="F67" s="121"/>
      <c r="G67" s="121"/>
      <c r="H67" s="349"/>
      <c r="I67" s="350"/>
      <c r="J67" s="351"/>
      <c r="K67" s="4"/>
      <c r="L67" s="4"/>
      <c r="M67" s="86"/>
    </row>
    <row r="68" spans="2:13" ht="18.75" customHeight="1" outlineLevel="1" x14ac:dyDescent="0.25">
      <c r="B68" s="285" t="s">
        <v>177</v>
      </c>
      <c r="C68" s="89" t="s">
        <v>0</v>
      </c>
      <c r="D68" s="313"/>
      <c r="E68" s="120">
        <f t="shared" ref="E68:G69" si="4">E65-E71</f>
        <v>9026.3972111306339</v>
      </c>
      <c r="F68" s="120">
        <f t="shared" si="4"/>
        <v>8355.1260944627284</v>
      </c>
      <c r="G68" s="120">
        <f t="shared" si="4"/>
        <v>10682.688870274997</v>
      </c>
      <c r="H68" s="349"/>
      <c r="I68" s="350"/>
      <c r="J68" s="351"/>
      <c r="K68" s="4"/>
      <c r="L68" s="4"/>
    </row>
    <row r="69" spans="2:13" ht="26.25" customHeight="1" outlineLevel="1" x14ac:dyDescent="0.25">
      <c r="B69" s="285" t="s">
        <v>178</v>
      </c>
      <c r="C69" s="89" t="s">
        <v>0</v>
      </c>
      <c r="D69" s="313"/>
      <c r="E69" s="120">
        <f t="shared" si="4"/>
        <v>26210.114898129275</v>
      </c>
      <c r="F69" s="120">
        <f t="shared" si="4"/>
        <v>35716.418314804192</v>
      </c>
      <c r="G69" s="120">
        <f t="shared" si="4"/>
        <v>37707.773148363376</v>
      </c>
      <c r="H69" s="349"/>
      <c r="I69" s="350"/>
      <c r="J69" s="351"/>
      <c r="K69" s="4"/>
      <c r="L69" s="4"/>
    </row>
    <row r="70" spans="2:13" ht="16.149999999999999" customHeight="1" outlineLevel="1" x14ac:dyDescent="0.25">
      <c r="B70" s="290"/>
      <c r="C70" s="89"/>
      <c r="D70" s="313"/>
      <c r="E70" s="121"/>
      <c r="F70" s="121"/>
      <c r="G70" s="121"/>
      <c r="H70" s="349"/>
      <c r="I70" s="350"/>
      <c r="J70" s="351"/>
      <c r="K70" s="54"/>
      <c r="L70" s="4"/>
    </row>
    <row r="71" spans="2:13" ht="16.149999999999999" customHeight="1" outlineLevel="1" x14ac:dyDescent="0.25">
      <c r="B71" s="285" t="s">
        <v>179</v>
      </c>
      <c r="C71" s="89" t="s">
        <v>0</v>
      </c>
      <c r="D71" s="313"/>
      <c r="E71" s="120">
        <f>IF(E83=0%,0,E113*E141/1000)</f>
        <v>2416.3607905096601</v>
      </c>
      <c r="F71" s="120">
        <f>IF(F83=0%,0,F113*F141/1000)</f>
        <v>4513.013413144582</v>
      </c>
      <c r="G71" s="120">
        <f>IF(G83=0%,0,G113*G141/1000)</f>
        <v>2764.9522384053498</v>
      </c>
      <c r="H71" s="349"/>
      <c r="I71" s="350"/>
      <c r="J71" s="351"/>
      <c r="K71" s="54"/>
      <c r="L71" s="4"/>
    </row>
    <row r="72" spans="2:13" ht="29.25" customHeight="1" outlineLevel="1" x14ac:dyDescent="0.25">
      <c r="B72" s="291" t="s">
        <v>180</v>
      </c>
      <c r="C72" s="255" t="s">
        <v>0</v>
      </c>
      <c r="D72" s="256"/>
      <c r="E72" s="257">
        <f>IF(E83=0%,0,(E110-E113)*E154/1000)</f>
        <v>3712.0352094903383</v>
      </c>
      <c r="F72" s="257">
        <f>IF(F83=0%,0,(F110-F113)*F154/1000)</f>
        <v>6982.2395272411704</v>
      </c>
      <c r="G72" s="257">
        <f>IF(G83=0%,0,(G110-G113)*G154/1000)</f>
        <v>4260.3581615946532</v>
      </c>
      <c r="H72" s="352"/>
      <c r="I72" s="353"/>
      <c r="J72" s="354"/>
      <c r="K72" s="4"/>
      <c r="L72" s="4"/>
    </row>
    <row r="73" spans="2:13" x14ac:dyDescent="0.25">
      <c r="B73" s="20"/>
      <c r="C73" s="6"/>
      <c r="D73" s="18"/>
      <c r="E73" s="52"/>
      <c r="F73" s="52"/>
      <c r="G73" s="52"/>
      <c r="H73" s="76"/>
      <c r="I73" s="76"/>
      <c r="J73" s="76"/>
      <c r="K73" s="4"/>
      <c r="L73" s="4"/>
      <c r="M73" s="4"/>
    </row>
    <row r="74" spans="2:13" x14ac:dyDescent="0.25">
      <c r="B74" s="92" t="s">
        <v>3</v>
      </c>
      <c r="C74" s="89" t="s">
        <v>0</v>
      </c>
      <c r="D74" s="18"/>
      <c r="E74" s="120"/>
      <c r="F74" s="120"/>
      <c r="G74" s="120"/>
      <c r="H74" s="120">
        <f>H11-(H83*H12)</f>
        <v>74905.851610000012</v>
      </c>
      <c r="I74" s="120">
        <f>I11-(I83*I12)</f>
        <v>71566.733106286891</v>
      </c>
      <c r="J74" s="120">
        <f>J11-(J83*J12)</f>
        <v>74042.593416196585</v>
      </c>
      <c r="K74" s="4"/>
      <c r="L74" s="4"/>
      <c r="M74" s="4"/>
    </row>
    <row r="75" spans="2:13" x14ac:dyDescent="0.25">
      <c r="B75" s="92" t="s">
        <v>181</v>
      </c>
      <c r="C75" s="89" t="s">
        <v>4</v>
      </c>
      <c r="D75" s="18"/>
      <c r="E75" s="120"/>
      <c r="F75" s="120"/>
      <c r="G75" s="120"/>
      <c r="H75" s="232">
        <v>142.77000000000001</v>
      </c>
      <c r="I75" s="232">
        <v>142.77000000000001</v>
      </c>
      <c r="J75" s="232">
        <v>142.77000000000001</v>
      </c>
      <c r="K75" s="4"/>
      <c r="L75" s="4"/>
      <c r="M75" s="4"/>
    </row>
    <row r="76" spans="2:13" x14ac:dyDescent="0.25">
      <c r="B76" s="20"/>
      <c r="C76" s="6"/>
      <c r="D76" s="18"/>
      <c r="E76" s="52"/>
      <c r="F76" s="52"/>
      <c r="G76" s="52"/>
      <c r="H76" s="76"/>
      <c r="I76" s="76"/>
      <c r="J76" s="76"/>
      <c r="K76" s="4"/>
      <c r="L76" s="4"/>
      <c r="M76" s="4"/>
    </row>
    <row r="77" spans="2:13" ht="16.149999999999999" customHeight="1" x14ac:dyDescent="0.25">
      <c r="B77" s="122" t="s">
        <v>182</v>
      </c>
      <c r="C77" s="123"/>
      <c r="D77" s="21"/>
      <c r="E77" s="125"/>
      <c r="F77" s="125"/>
      <c r="G77" s="125"/>
      <c r="H77" s="125"/>
      <c r="I77" s="125"/>
      <c r="J77" s="125"/>
    </row>
    <row r="78" spans="2:13" x14ac:dyDescent="0.25">
      <c r="B78" s="93" t="s">
        <v>183</v>
      </c>
      <c r="C78" s="94" t="s">
        <v>2</v>
      </c>
      <c r="D78" s="22"/>
      <c r="E78" s="133">
        <v>0.87364995727784733</v>
      </c>
      <c r="F78" s="133">
        <v>0.61603965371941027</v>
      </c>
      <c r="G78" s="133">
        <v>0.58402221268927113</v>
      </c>
      <c r="H78" s="126">
        <f>(H96*H125+H124*SUM(H97:H100))/1000/H74</f>
        <v>0.41557732649689183</v>
      </c>
      <c r="I78" s="126">
        <f t="shared" ref="I78:J78" si="5">(I96*I125+I124*SUM(I97:I100))/1000/I74</f>
        <v>0.43496708875652329</v>
      </c>
      <c r="J78" s="126">
        <f t="shared" si="5"/>
        <v>0.42042251783481283</v>
      </c>
    </row>
    <row r="79" spans="2:13" x14ac:dyDescent="0.25">
      <c r="B79" s="93" t="s">
        <v>184</v>
      </c>
      <c r="C79" s="94" t="s">
        <v>2</v>
      </c>
      <c r="D79" s="22"/>
      <c r="E79" s="126">
        <f t="shared" ref="E79" si="6">1-E78</f>
        <v>0.12635004272215267</v>
      </c>
      <c r="F79" s="126">
        <f>1-F78</f>
        <v>0.38396034628058973</v>
      </c>
      <c r="G79" s="126">
        <f>1-G78</f>
        <v>0.41597778731072887</v>
      </c>
      <c r="H79" s="126">
        <f>1-H78</f>
        <v>0.58442267350310817</v>
      </c>
      <c r="I79" s="126">
        <f>1-I78</f>
        <v>0.56503291124347665</v>
      </c>
      <c r="J79" s="126">
        <f>1-J78</f>
        <v>0.57957748216518712</v>
      </c>
    </row>
    <row r="80" spans="2:13" x14ac:dyDescent="0.25">
      <c r="B80" s="82"/>
      <c r="C80" s="8"/>
      <c r="D80" s="23"/>
      <c r="E80" s="52"/>
      <c r="F80" s="52"/>
      <c r="G80" s="52"/>
      <c r="H80" s="52"/>
      <c r="I80" s="52"/>
      <c r="J80" s="52"/>
    </row>
    <row r="81" spans="2:13" ht="16.899999999999999" customHeight="1" x14ac:dyDescent="0.25">
      <c r="B81" s="122" t="s">
        <v>185</v>
      </c>
      <c r="C81" s="123"/>
      <c r="D81" s="24"/>
      <c r="E81" s="127"/>
      <c r="F81" s="127"/>
      <c r="G81" s="127"/>
      <c r="H81" s="127"/>
      <c r="I81" s="127"/>
      <c r="J81" s="127"/>
    </row>
    <row r="82" spans="2:13" x14ac:dyDescent="0.25">
      <c r="B82" s="95" t="s">
        <v>186</v>
      </c>
      <c r="C82" s="96" t="s">
        <v>2</v>
      </c>
      <c r="D82" s="22"/>
      <c r="E82" s="134">
        <v>0.9</v>
      </c>
      <c r="F82" s="134">
        <v>0.8334439634163513</v>
      </c>
      <c r="G82" s="134">
        <v>0.8973645640991702</v>
      </c>
      <c r="H82" s="134">
        <v>0.89264904642337728</v>
      </c>
      <c r="I82" s="134">
        <v>0.89264904642337728</v>
      </c>
      <c r="J82" s="134">
        <v>0.89264904642337728</v>
      </c>
    </row>
    <row r="83" spans="2:13" x14ac:dyDescent="0.25">
      <c r="B83" s="95" t="s">
        <v>187</v>
      </c>
      <c r="C83" s="96" t="s">
        <v>2</v>
      </c>
      <c r="D83" s="22"/>
      <c r="E83" s="128">
        <f t="shared" ref="E83" si="7">1-E82</f>
        <v>9.9999999999999978E-2</v>
      </c>
      <c r="F83" s="128">
        <f>1-F82</f>
        <v>0.1665560365836487</v>
      </c>
      <c r="G83" s="128">
        <f>1-G82</f>
        <v>0.1026354359008298</v>
      </c>
      <c r="H83" s="128">
        <f>1-H82</f>
        <v>0.10735095357662272</v>
      </c>
      <c r="I83" s="128">
        <v>0.11347387005609982</v>
      </c>
      <c r="J83" s="128">
        <v>0.1100972442573864</v>
      </c>
    </row>
    <row r="84" spans="2:13" x14ac:dyDescent="0.25">
      <c r="B84" s="25"/>
      <c r="C84" s="7"/>
      <c r="D84" s="22"/>
      <c r="E84" s="52"/>
      <c r="F84" s="52"/>
      <c r="G84" s="52"/>
      <c r="H84" s="52"/>
      <c r="I84" s="52"/>
      <c r="J84" s="52"/>
    </row>
    <row r="85" spans="2:13" x14ac:dyDescent="0.25">
      <c r="B85" s="97" t="s">
        <v>188</v>
      </c>
      <c r="C85" s="98" t="s">
        <v>2</v>
      </c>
      <c r="D85" s="22"/>
      <c r="E85" s="264">
        <v>0</v>
      </c>
      <c r="F85" s="264">
        <v>0</v>
      </c>
      <c r="G85" s="264">
        <v>0</v>
      </c>
      <c r="H85" s="264">
        <v>0</v>
      </c>
      <c r="I85" s="264">
        <v>0</v>
      </c>
      <c r="J85" s="264">
        <v>0</v>
      </c>
    </row>
    <row r="86" spans="2:13" x14ac:dyDescent="0.25">
      <c r="B86" s="97" t="s">
        <v>189</v>
      </c>
      <c r="C86" s="98" t="s">
        <v>2</v>
      </c>
      <c r="D86" s="22"/>
      <c r="E86" s="264">
        <v>0</v>
      </c>
      <c r="F86" s="264">
        <v>0</v>
      </c>
      <c r="G86" s="264">
        <v>0</v>
      </c>
      <c r="H86" s="264">
        <v>0</v>
      </c>
      <c r="I86" s="264">
        <v>0</v>
      </c>
      <c r="J86" s="264">
        <v>0</v>
      </c>
    </row>
    <row r="87" spans="2:13" x14ac:dyDescent="0.25">
      <c r="B87" s="97" t="s">
        <v>190</v>
      </c>
      <c r="C87" s="98" t="s">
        <v>2</v>
      </c>
      <c r="D87" s="22"/>
      <c r="E87" s="264">
        <v>0</v>
      </c>
      <c r="F87" s="264">
        <v>0</v>
      </c>
      <c r="G87" s="264">
        <v>0</v>
      </c>
      <c r="H87" s="134">
        <v>1</v>
      </c>
      <c r="I87" s="134">
        <v>1</v>
      </c>
      <c r="J87" s="134">
        <v>1</v>
      </c>
    </row>
    <row r="88" spans="2:13" x14ac:dyDescent="0.25">
      <c r="B88" s="83"/>
      <c r="C88" s="59"/>
      <c r="D88" s="23"/>
      <c r="E88" s="52"/>
      <c r="F88" s="52"/>
      <c r="G88" s="52"/>
      <c r="H88" s="52"/>
      <c r="I88" s="52"/>
      <c r="J88" s="52"/>
    </row>
    <row r="89" spans="2:13" x14ac:dyDescent="0.25">
      <c r="B89" s="122" t="s">
        <v>191</v>
      </c>
      <c r="C89" s="123"/>
      <c r="D89" s="21"/>
      <c r="E89" s="125"/>
      <c r="F89" s="125"/>
      <c r="G89" s="125"/>
      <c r="H89" s="125"/>
      <c r="I89" s="125"/>
      <c r="J89" s="125"/>
    </row>
    <row r="90" spans="2:13" x14ac:dyDescent="0.25">
      <c r="B90" s="95" t="s">
        <v>183</v>
      </c>
      <c r="C90" s="96" t="s">
        <v>2</v>
      </c>
      <c r="D90" s="22"/>
      <c r="E90" s="126">
        <f>((E97+E99)*E124/1000+E98*E128/1000+(E68-E104*E131/1000))/(E25-E72-E71)</f>
        <v>0.48635705657906264</v>
      </c>
      <c r="F90" s="126">
        <f>((F97+F99)*F124/1000+F98*F128/1000+(F68-F104*F131/1000))/(F25-F72-F71)</f>
        <v>0.4507758289721861</v>
      </c>
      <c r="G90" s="126">
        <f>((G97+G99)*G124/1000+G98*G128/1000+(G68-G104*G131/1000))/(G25-G72-G71)</f>
        <v>0.41758656982407627</v>
      </c>
      <c r="H90" s="126" t="e">
        <f>SUM(Q124:Q129)/Q149</f>
        <v>#DIV/0!</v>
      </c>
      <c r="I90" s="126" t="e">
        <f>SUM(R124:R129)/R149</f>
        <v>#DIV/0!</v>
      </c>
      <c r="J90" s="126" t="e">
        <f>SUM(S124:S129)/S149</f>
        <v>#DIV/0!</v>
      </c>
      <c r="K90" s="229"/>
    </row>
    <row r="91" spans="2:13" x14ac:dyDescent="0.25">
      <c r="B91" s="95" t="s">
        <v>184</v>
      </c>
      <c r="C91" s="96" t="s">
        <v>2</v>
      </c>
      <c r="D91" s="22"/>
      <c r="E91" s="126">
        <f>1-E90</f>
        <v>0.5136429434209373</v>
      </c>
      <c r="F91" s="126">
        <f t="shared" ref="F91:G91" si="8">1-F90</f>
        <v>0.54922417102781385</v>
      </c>
      <c r="G91" s="126">
        <f t="shared" si="8"/>
        <v>0.58241343017592373</v>
      </c>
      <c r="H91" s="126" t="e">
        <f>1-H90</f>
        <v>#DIV/0!</v>
      </c>
      <c r="I91" s="126" t="e">
        <f>1-I90</f>
        <v>#DIV/0!</v>
      </c>
      <c r="J91" s="126" t="e">
        <f>1-J90</f>
        <v>#DIV/0!</v>
      </c>
    </row>
    <row r="92" spans="2:13" x14ac:dyDescent="0.25">
      <c r="C92" s="7"/>
      <c r="D92" s="25"/>
      <c r="F92" s="76"/>
      <c r="G92" s="76"/>
      <c r="H92" s="76"/>
      <c r="I92" s="76"/>
      <c r="J92" s="76"/>
    </row>
    <row r="93" spans="2:13" ht="24.75" customHeight="1" x14ac:dyDescent="0.25">
      <c r="B93" s="124" t="s">
        <v>192</v>
      </c>
      <c r="C93" s="123"/>
      <c r="D93" s="21"/>
      <c r="E93" s="129"/>
      <c r="F93" s="129"/>
      <c r="G93" s="129"/>
      <c r="H93" s="129"/>
      <c r="I93" s="129"/>
      <c r="J93" s="129"/>
    </row>
    <row r="94" spans="2:13" x14ac:dyDescent="0.25">
      <c r="B94" s="91" t="s">
        <v>193</v>
      </c>
      <c r="C94" s="96" t="s">
        <v>194</v>
      </c>
      <c r="D94" s="21"/>
      <c r="E94" s="130">
        <f t="shared" ref="E94" si="9">E97+E98+E99</f>
        <v>160387.09645582485</v>
      </c>
      <c r="F94" s="130">
        <f>F97+F98+F99</f>
        <v>154113.11879771363</v>
      </c>
      <c r="G94" s="130">
        <f>G97+G98+G99+G96</f>
        <v>154249.3318602806</v>
      </c>
      <c r="H94" s="130">
        <f>H97+H98+H99+H96+H100</f>
        <v>222023.66848861304</v>
      </c>
      <c r="I94" s="130">
        <f>I97+I98+I99+I96+I100</f>
        <v>222023.66848861304</v>
      </c>
      <c r="J94" s="130">
        <f>J97+J98+J99+J96+J100</f>
        <v>222023.66848861304</v>
      </c>
    </row>
    <row r="95" spans="2:13" x14ac:dyDescent="0.25">
      <c r="B95" s="90" t="s">
        <v>195</v>
      </c>
      <c r="C95" s="96" t="s">
        <v>194</v>
      </c>
      <c r="D95" s="21"/>
      <c r="E95" s="105">
        <v>0</v>
      </c>
      <c r="F95" s="105">
        <v>0</v>
      </c>
      <c r="G95" s="105">
        <v>0</v>
      </c>
      <c r="H95" s="105">
        <v>0</v>
      </c>
      <c r="I95" s="105">
        <v>0</v>
      </c>
      <c r="J95" s="105">
        <v>0</v>
      </c>
      <c r="K95" s="4"/>
      <c r="L95" s="4"/>
      <c r="M95" s="276"/>
    </row>
    <row r="96" spans="2:13" x14ac:dyDescent="0.25">
      <c r="B96" s="90" t="s">
        <v>102</v>
      </c>
      <c r="C96" s="96" t="s">
        <v>194</v>
      </c>
      <c r="D96" s="21"/>
      <c r="E96" s="105">
        <v>0</v>
      </c>
      <c r="F96" s="105">
        <v>0</v>
      </c>
      <c r="G96" s="105">
        <v>2095.8904109589043</v>
      </c>
      <c r="H96" s="105">
        <v>3986.4509285044237</v>
      </c>
      <c r="I96" s="105">
        <v>3986.4509285044237</v>
      </c>
      <c r="J96" s="105">
        <v>3986.4509285044237</v>
      </c>
      <c r="K96" s="187"/>
    </row>
    <row r="97" spans="2:16" x14ac:dyDescent="0.25">
      <c r="B97" s="90" t="s">
        <v>104</v>
      </c>
      <c r="C97" s="96" t="s">
        <v>194</v>
      </c>
      <c r="D97" s="14"/>
      <c r="E97" s="105">
        <v>15533.61240598652</v>
      </c>
      <c r="F97" s="105">
        <v>11617.340034991219</v>
      </c>
      <c r="G97" s="105">
        <v>10862.926316603705</v>
      </c>
      <c r="H97" s="105">
        <v>7115.2106336733932</v>
      </c>
      <c r="I97" s="105">
        <v>7115.2106336733932</v>
      </c>
      <c r="J97" s="105">
        <v>7115.2106336733932</v>
      </c>
      <c r="K97" s="187"/>
    </row>
    <row r="98" spans="2:16" x14ac:dyDescent="0.25">
      <c r="B98" s="90" t="s">
        <v>105</v>
      </c>
      <c r="C98" s="96" t="s">
        <v>194</v>
      </c>
      <c r="D98" s="14"/>
      <c r="E98" s="105">
        <v>121408.552542989</v>
      </c>
      <c r="F98" s="105">
        <v>126356.46223819369</v>
      </c>
      <c r="G98" s="105">
        <v>132035.14837531091</v>
      </c>
      <c r="H98" s="105">
        <v>127460.6289612149</v>
      </c>
      <c r="I98" s="105">
        <v>127460.6289612149</v>
      </c>
      <c r="J98" s="105">
        <v>127460.6289612149</v>
      </c>
      <c r="O98" s="72"/>
      <c r="P98" s="72"/>
    </row>
    <row r="99" spans="2:16" x14ac:dyDescent="0.25">
      <c r="B99" s="90" t="s">
        <v>196</v>
      </c>
      <c r="C99" s="314" t="s">
        <v>194</v>
      </c>
      <c r="D99" s="14"/>
      <c r="E99" s="105">
        <v>23444.931506849316</v>
      </c>
      <c r="F99" s="105">
        <v>16139.316524528731</v>
      </c>
      <c r="G99" s="105">
        <v>9255.3667574070805</v>
      </c>
      <c r="H99" s="105">
        <v>6872.2163213846889</v>
      </c>
      <c r="I99" s="105">
        <v>6872.2163213846889</v>
      </c>
      <c r="J99" s="105">
        <v>6872.2163213846889</v>
      </c>
    </row>
    <row r="100" spans="2:16" ht="15" customHeight="1" x14ac:dyDescent="0.25">
      <c r="B100" s="90" t="s">
        <v>103</v>
      </c>
      <c r="C100" s="96" t="s">
        <v>194</v>
      </c>
      <c r="D100" s="14"/>
      <c r="E100" s="101">
        <v>109200</v>
      </c>
      <c r="F100" s="101">
        <v>109200</v>
      </c>
      <c r="G100" s="101">
        <v>109200</v>
      </c>
      <c r="H100" s="101">
        <v>76589.161643835614</v>
      </c>
      <c r="I100" s="101">
        <v>76589.161643835614</v>
      </c>
      <c r="J100" s="101">
        <v>76589.161643835614</v>
      </c>
    </row>
    <row r="101" spans="2:16" ht="14.25" customHeight="1" x14ac:dyDescent="0.25">
      <c r="B101" s="91" t="s">
        <v>197</v>
      </c>
      <c r="C101" s="96" t="s">
        <v>194</v>
      </c>
      <c r="D101" s="14"/>
      <c r="E101" s="130">
        <f t="shared" ref="E101" si="10">SUM(E102:E105)</f>
        <v>290998.59666338243</v>
      </c>
      <c r="F101" s="130">
        <f>SUM(F102:F105)</f>
        <v>295595.63052926701</v>
      </c>
      <c r="G101" s="130">
        <f>SUM(G102:G105)</f>
        <v>295279.2445081569</v>
      </c>
      <c r="H101" s="130">
        <f>SUM(H102:H105)</f>
        <v>257302.69346024666</v>
      </c>
      <c r="I101" s="130">
        <f>SUM(I102:I105)</f>
        <v>257302.69346024666</v>
      </c>
      <c r="J101" s="130">
        <f>SUM(J102:J105)</f>
        <v>257302.69346024666</v>
      </c>
      <c r="K101" s="60"/>
    </row>
    <row r="102" spans="2:16" ht="14.25" customHeight="1" x14ac:dyDescent="0.25">
      <c r="B102" s="90" t="s">
        <v>107</v>
      </c>
      <c r="C102" s="96" t="s">
        <v>194</v>
      </c>
      <c r="D102" s="14"/>
      <c r="E102" s="105">
        <v>39755.49369420189</v>
      </c>
      <c r="F102" s="105">
        <v>30365.95917731474</v>
      </c>
      <c r="G102" s="105">
        <v>49042.098828579612</v>
      </c>
      <c r="H102" s="105">
        <v>51694.18918846915</v>
      </c>
      <c r="I102" s="105">
        <v>51694.18918846915</v>
      </c>
      <c r="J102" s="105">
        <v>51694.18918846915</v>
      </c>
      <c r="K102" s="85"/>
    </row>
    <row r="103" spans="2:16" x14ac:dyDescent="0.25">
      <c r="B103" s="90" t="s">
        <v>109</v>
      </c>
      <c r="C103" s="96" t="s">
        <v>194</v>
      </c>
      <c r="D103" s="14"/>
      <c r="E103" s="105">
        <v>40436.712328767127</v>
      </c>
      <c r="F103" s="105">
        <v>50229.624679834153</v>
      </c>
      <c r="G103" s="105">
        <v>47914.051254493403</v>
      </c>
      <c r="H103" s="105">
        <v>32627.688112888292</v>
      </c>
      <c r="I103" s="105">
        <v>32627.688112888292</v>
      </c>
      <c r="J103" s="105">
        <v>32627.688112888292</v>
      </c>
      <c r="O103" s="56"/>
      <c r="P103" s="56"/>
    </row>
    <row r="104" spans="2:16" x14ac:dyDescent="0.25">
      <c r="B104" s="90" t="s">
        <v>108</v>
      </c>
      <c r="C104" s="96" t="s">
        <v>194</v>
      </c>
      <c r="D104" s="14"/>
      <c r="E104" s="105">
        <v>109200</v>
      </c>
      <c r="F104" s="105">
        <v>109200</v>
      </c>
      <c r="G104" s="105">
        <v>109200</v>
      </c>
      <c r="H104" s="105">
        <v>89409.230958904111</v>
      </c>
      <c r="I104" s="105">
        <v>89409.230958904111</v>
      </c>
      <c r="J104" s="105">
        <v>89409.230958904111</v>
      </c>
      <c r="K104" s="85"/>
      <c r="O104" s="56"/>
      <c r="P104" s="56"/>
    </row>
    <row r="105" spans="2:16" x14ac:dyDescent="0.25">
      <c r="B105" s="91" t="s">
        <v>198</v>
      </c>
      <c r="C105" s="96" t="s">
        <v>194</v>
      </c>
      <c r="D105" s="14"/>
      <c r="E105" s="106">
        <f t="shared" ref="E105:J105" si="11">E106+E107</f>
        <v>101606.39064041342</v>
      </c>
      <c r="F105" s="106">
        <f t="shared" si="11"/>
        <v>105800.04667211813</v>
      </c>
      <c r="G105" s="106">
        <f t="shared" si="11"/>
        <v>89123.094425083895</v>
      </c>
      <c r="H105" s="106">
        <f t="shared" si="11"/>
        <v>83571.585199985129</v>
      </c>
      <c r="I105" s="106">
        <f t="shared" si="11"/>
        <v>83571.585199985129</v>
      </c>
      <c r="J105" s="106">
        <f t="shared" si="11"/>
        <v>83571.585199985129</v>
      </c>
      <c r="K105" s="85"/>
      <c r="O105" s="56"/>
      <c r="P105" s="56"/>
    </row>
    <row r="106" spans="2:16" x14ac:dyDescent="0.25">
      <c r="B106" s="99" t="s">
        <v>199</v>
      </c>
      <c r="C106" s="96" t="s">
        <v>194</v>
      </c>
      <c r="D106" s="14"/>
      <c r="E106" s="135">
        <v>59606.390640413418</v>
      </c>
      <c r="F106" s="135">
        <v>63800.046672118129</v>
      </c>
      <c r="G106" s="135">
        <v>51880.52742453949</v>
      </c>
      <c r="H106" s="135">
        <v>52210.026374930327</v>
      </c>
      <c r="I106" s="135">
        <v>52210.026374930327</v>
      </c>
      <c r="J106" s="135">
        <v>52210.026374930327</v>
      </c>
      <c r="M106" s="73"/>
      <c r="N106" s="73"/>
      <c r="O106" s="78"/>
      <c r="P106" s="56"/>
    </row>
    <row r="107" spans="2:16" x14ac:dyDescent="0.25">
      <c r="B107" s="99" t="s">
        <v>200</v>
      </c>
      <c r="C107" s="96" t="s">
        <v>194</v>
      </c>
      <c r="D107" s="14"/>
      <c r="E107" s="135">
        <v>42000</v>
      </c>
      <c r="F107" s="135">
        <v>42000</v>
      </c>
      <c r="G107" s="135">
        <v>37242.567000544397</v>
      </c>
      <c r="H107" s="135">
        <v>31361.558825054799</v>
      </c>
      <c r="I107" s="135">
        <v>31361.558825054799</v>
      </c>
      <c r="J107" s="135">
        <v>31361.558825054799</v>
      </c>
      <c r="M107" s="73"/>
      <c r="N107" s="73"/>
      <c r="O107" s="78"/>
      <c r="P107" s="56"/>
    </row>
    <row r="108" spans="2:16" x14ac:dyDescent="0.25">
      <c r="K108" s="60"/>
      <c r="L108" s="60"/>
      <c r="M108" s="73"/>
      <c r="N108" s="73"/>
      <c r="O108" s="78"/>
      <c r="P108" s="71"/>
    </row>
    <row r="109" spans="2:16" x14ac:dyDescent="0.25">
      <c r="B109" s="102" t="s">
        <v>201</v>
      </c>
      <c r="C109" s="123"/>
      <c r="D109" s="21"/>
      <c r="E109" s="125"/>
      <c r="F109" s="125"/>
      <c r="G109" s="125"/>
      <c r="H109" s="125"/>
      <c r="I109" s="125"/>
      <c r="J109" s="125"/>
      <c r="K109" s="85"/>
      <c r="L109" s="73"/>
      <c r="M109" s="73"/>
      <c r="N109" s="73"/>
      <c r="O109" s="78"/>
      <c r="P109" s="71"/>
    </row>
    <row r="110" spans="2:16" x14ac:dyDescent="0.25">
      <c r="B110" s="90" t="s">
        <v>202</v>
      </c>
      <c r="C110" s="96" t="s">
        <v>203</v>
      </c>
      <c r="D110" s="21"/>
      <c r="E110" s="131">
        <f t="shared" ref="E110:J110" si="12">SUM(E111:E114)</f>
        <v>66626083.791999996</v>
      </c>
      <c r="F110" s="131">
        <f t="shared" si="12"/>
        <v>66225501.475249998</v>
      </c>
      <c r="G110" s="131">
        <f t="shared" si="12"/>
        <v>65300191.423</v>
      </c>
      <c r="H110" s="131">
        <f t="shared" si="12"/>
        <v>64402985.890298843</v>
      </c>
      <c r="I110" s="131">
        <f t="shared" si="12"/>
        <v>64402985.890298843</v>
      </c>
      <c r="J110" s="131">
        <f t="shared" si="12"/>
        <v>64402985.890298843</v>
      </c>
      <c r="K110" s="79"/>
      <c r="M110" s="73"/>
      <c r="N110" s="73"/>
      <c r="O110" s="78"/>
    </row>
    <row r="111" spans="2:16" x14ac:dyDescent="0.25">
      <c r="B111" s="90" t="s">
        <v>107</v>
      </c>
      <c r="C111" s="96" t="s">
        <v>203</v>
      </c>
      <c r="D111" s="21"/>
      <c r="E111" s="136">
        <v>9674027.1999999993</v>
      </c>
      <c r="F111" s="136">
        <v>7700000</v>
      </c>
      <c r="G111" s="136">
        <v>13314613.096999999</v>
      </c>
      <c r="H111" s="136">
        <v>11498700</v>
      </c>
      <c r="I111" s="136">
        <v>11498700</v>
      </c>
      <c r="J111" s="136">
        <v>11498700</v>
      </c>
      <c r="M111" s="73"/>
      <c r="N111" s="73"/>
      <c r="O111" s="78"/>
    </row>
    <row r="112" spans="2:16" x14ac:dyDescent="0.25">
      <c r="B112" s="90" t="s">
        <v>110</v>
      </c>
      <c r="C112" s="96" t="s">
        <v>203</v>
      </c>
      <c r="D112" s="21"/>
      <c r="E112" s="136">
        <v>22646290.59</v>
      </c>
      <c r="F112" s="136">
        <v>21051465.475249998</v>
      </c>
      <c r="G112" s="136">
        <v>16935662.326000001</v>
      </c>
      <c r="H112" s="136">
        <v>16744911.285298841</v>
      </c>
      <c r="I112" s="136">
        <v>16744911.285298841</v>
      </c>
      <c r="J112" s="136">
        <v>16744911.285298841</v>
      </c>
      <c r="M112" s="73"/>
      <c r="N112" s="73"/>
      <c r="O112" s="78"/>
    </row>
    <row r="113" spans="2:20" ht="15" customHeight="1" x14ac:dyDescent="0.25">
      <c r="B113" s="90" t="s">
        <v>108</v>
      </c>
      <c r="C113" s="96" t="s">
        <v>203</v>
      </c>
      <c r="D113" s="21"/>
      <c r="E113" s="136">
        <v>26269950</v>
      </c>
      <c r="F113" s="136">
        <v>26000000</v>
      </c>
      <c r="G113" s="136">
        <v>25700204</v>
      </c>
      <c r="H113" s="136">
        <v>27173640</v>
      </c>
      <c r="I113" s="136">
        <v>27173640</v>
      </c>
      <c r="J113" s="136">
        <v>27173640</v>
      </c>
      <c r="K113" s="60"/>
      <c r="M113" s="73"/>
      <c r="N113" s="73"/>
      <c r="O113" s="73"/>
      <c r="Q113" s="73"/>
    </row>
    <row r="114" spans="2:20" ht="13.9" customHeight="1" x14ac:dyDescent="0.25">
      <c r="B114" s="90" t="s">
        <v>204</v>
      </c>
      <c r="C114" s="96" t="s">
        <v>203</v>
      </c>
      <c r="D114" s="21"/>
      <c r="E114" s="136">
        <v>8035816.0020000003</v>
      </c>
      <c r="F114" s="136">
        <v>11474036</v>
      </c>
      <c r="G114" s="136">
        <v>9349712</v>
      </c>
      <c r="H114" s="136">
        <v>8985734.6050000004</v>
      </c>
      <c r="I114" s="136">
        <v>8985734.6050000004</v>
      </c>
      <c r="J114" s="136">
        <v>8985734.6050000004</v>
      </c>
    </row>
    <row r="115" spans="2:20" ht="15" customHeight="1" x14ac:dyDescent="0.25">
      <c r="B115" s="91" t="s">
        <v>205</v>
      </c>
      <c r="C115" s="96" t="s">
        <v>194</v>
      </c>
      <c r="D115" s="30"/>
      <c r="E115" s="131">
        <f>E116+E117</f>
        <v>168060.73200000002</v>
      </c>
      <c r="F115" s="131">
        <f>F116+F117</f>
        <v>161519.01199999999</v>
      </c>
      <c r="G115" s="131">
        <f>G116+G117</f>
        <v>157156.43299999999</v>
      </c>
      <c r="H115" s="131"/>
      <c r="I115" s="131"/>
      <c r="J115" s="131"/>
    </row>
    <row r="116" spans="2:20" ht="14.45" customHeight="1" x14ac:dyDescent="0.25">
      <c r="B116" s="99" t="s">
        <v>199</v>
      </c>
      <c r="C116" s="96" t="s">
        <v>194</v>
      </c>
      <c r="D116" s="30"/>
      <c r="E116" s="135">
        <v>126060.732</v>
      </c>
      <c r="F116" s="135">
        <v>119519.012</v>
      </c>
      <c r="G116" s="135">
        <v>133156.43299999999</v>
      </c>
      <c r="K116" s="78"/>
      <c r="L116" s="78"/>
      <c r="N116" s="73"/>
      <c r="P116" s="73"/>
    </row>
    <row r="117" spans="2:20" ht="14.45" customHeight="1" x14ac:dyDescent="0.25">
      <c r="B117" s="99" t="s">
        <v>200</v>
      </c>
      <c r="C117" s="96" t="s">
        <v>194</v>
      </c>
      <c r="D117" s="30"/>
      <c r="E117" s="135">
        <v>42000</v>
      </c>
      <c r="F117" s="135">
        <v>42000</v>
      </c>
      <c r="G117" s="135">
        <v>24000</v>
      </c>
      <c r="K117" s="73"/>
      <c r="L117" s="73"/>
      <c r="M117" s="73"/>
      <c r="T117" s="73"/>
    </row>
    <row r="118" spans="2:20" ht="14.45" customHeight="1" x14ac:dyDescent="0.25">
      <c r="B118" s="91" t="s">
        <v>198</v>
      </c>
      <c r="C118" s="96" t="s">
        <v>203</v>
      </c>
      <c r="D118" s="30"/>
      <c r="E118" s="131">
        <f t="shared" ref="E118:J118" si="13">ROUND(E112,0)</f>
        <v>22646291</v>
      </c>
      <c r="F118" s="131">
        <f t="shared" si="13"/>
        <v>21051465</v>
      </c>
      <c r="G118" s="131">
        <f t="shared" si="13"/>
        <v>16935662</v>
      </c>
      <c r="H118" s="131">
        <f t="shared" si="13"/>
        <v>16744911</v>
      </c>
      <c r="I118" s="131">
        <f t="shared" si="13"/>
        <v>16744911</v>
      </c>
      <c r="J118" s="131">
        <f t="shared" si="13"/>
        <v>16744911</v>
      </c>
      <c r="K118" s="4"/>
      <c r="L118" s="4"/>
      <c r="M118" s="100"/>
      <c r="N118" s="77"/>
      <c r="O118" s="77"/>
      <c r="P118" s="77"/>
      <c r="Q118" s="77"/>
      <c r="S118" s="73"/>
      <c r="T118" s="73"/>
    </row>
    <row r="119" spans="2:20" ht="14.45" customHeight="1" x14ac:dyDescent="0.25">
      <c r="B119" s="99" t="s">
        <v>199</v>
      </c>
      <c r="C119" s="96" t="s">
        <v>203</v>
      </c>
      <c r="D119" s="30"/>
      <c r="E119" s="136">
        <v>9758215.7899999991</v>
      </c>
      <c r="F119" s="136">
        <v>10121465.47525</v>
      </c>
      <c r="G119" s="136">
        <v>8175662.3260000004</v>
      </c>
      <c r="H119" s="136">
        <v>7984911.2852988411</v>
      </c>
      <c r="I119" s="136">
        <v>7984911.2852988411</v>
      </c>
      <c r="J119" s="136">
        <v>7984911.2852988411</v>
      </c>
      <c r="K119" s="73"/>
      <c r="L119" s="73"/>
      <c r="M119" s="100"/>
      <c r="N119" s="61"/>
      <c r="O119" s="61"/>
      <c r="P119" s="61"/>
      <c r="Q119" s="77"/>
    </row>
    <row r="120" spans="2:20" ht="14.45" customHeight="1" x14ac:dyDescent="0.25">
      <c r="B120" s="99" t="s">
        <v>200</v>
      </c>
      <c r="C120" s="96" t="s">
        <v>203</v>
      </c>
      <c r="D120" s="30"/>
      <c r="E120" s="132">
        <f t="shared" ref="E120:J120" si="14">E118-E119</f>
        <v>12888075.210000001</v>
      </c>
      <c r="F120" s="132">
        <f t="shared" si="14"/>
        <v>10929999.52475</v>
      </c>
      <c r="G120" s="132">
        <f t="shared" si="14"/>
        <v>8759999.6739999987</v>
      </c>
      <c r="H120" s="132">
        <f t="shared" si="14"/>
        <v>8759999.7147011589</v>
      </c>
      <c r="I120" s="132">
        <f t="shared" si="14"/>
        <v>8759999.7147011589</v>
      </c>
      <c r="J120" s="132">
        <f t="shared" si="14"/>
        <v>8759999.7147011589</v>
      </c>
    </row>
    <row r="121" spans="2:20" ht="15.75" thickBot="1" x14ac:dyDescent="0.3">
      <c r="B121" s="15"/>
      <c r="C121" s="9"/>
      <c r="D121" s="26"/>
      <c r="E121" s="52"/>
      <c r="F121" s="76"/>
      <c r="G121" s="76"/>
      <c r="H121" s="76"/>
      <c r="I121" s="76"/>
    </row>
    <row r="122" spans="2:20" ht="16.149999999999999" customHeight="1" x14ac:dyDescent="0.25">
      <c r="B122" s="209" t="s">
        <v>206</v>
      </c>
      <c r="C122" s="210"/>
      <c r="D122" s="211"/>
      <c r="E122" s="303" t="s">
        <v>220</v>
      </c>
      <c r="F122" s="303" t="s">
        <v>221</v>
      </c>
      <c r="G122" s="303" t="s">
        <v>222</v>
      </c>
      <c r="H122" s="303" t="s">
        <v>223</v>
      </c>
      <c r="I122" s="303" t="s">
        <v>224</v>
      </c>
      <c r="J122" s="304" t="s">
        <v>225</v>
      </c>
    </row>
    <row r="123" spans="2:20" ht="13.5" customHeight="1" x14ac:dyDescent="0.25">
      <c r="B123" s="212" t="s">
        <v>207</v>
      </c>
      <c r="C123" s="404"/>
      <c r="D123" s="405"/>
      <c r="E123" s="296"/>
      <c r="F123" s="296"/>
      <c r="G123" s="296"/>
      <c r="H123" s="296"/>
      <c r="I123" s="296"/>
      <c r="J123" s="305"/>
    </row>
    <row r="124" spans="2:20" x14ac:dyDescent="0.25">
      <c r="B124" s="213" t="s">
        <v>195</v>
      </c>
      <c r="C124" s="406" t="s">
        <v>208</v>
      </c>
      <c r="D124" s="27"/>
      <c r="E124" s="297">
        <f>E69*E78/E94*1000</f>
        <v>142.76999999999998</v>
      </c>
      <c r="F124" s="297">
        <f>F69*F78/F94*1000</f>
        <v>142.77000000000001</v>
      </c>
      <c r="G124" s="297">
        <f>G69*G78/G94*1000</f>
        <v>142.77000000000001</v>
      </c>
      <c r="H124" s="297">
        <f>$H$75</f>
        <v>142.77000000000001</v>
      </c>
      <c r="I124" s="297">
        <f>$I$75</f>
        <v>142.77000000000001</v>
      </c>
      <c r="J124" s="306">
        <f>$J$75</f>
        <v>142.77000000000001</v>
      </c>
    </row>
    <row r="125" spans="2:20" x14ac:dyDescent="0.25">
      <c r="B125" s="213" t="s">
        <v>102</v>
      </c>
      <c r="C125" s="406" t="s">
        <v>208</v>
      </c>
      <c r="D125" s="27"/>
      <c r="E125" s="297">
        <f>+E124</f>
        <v>142.76999999999998</v>
      </c>
      <c r="F125" s="297">
        <f>+F124</f>
        <v>142.77000000000001</v>
      </c>
      <c r="G125" s="297">
        <f>+G124</f>
        <v>142.77000000000001</v>
      </c>
      <c r="H125" s="297">
        <f>H124*(1-H87)</f>
        <v>0</v>
      </c>
      <c r="I125" s="297">
        <f t="shared" ref="I125:J125" si="15">I124*(1-I87)</f>
        <v>0</v>
      </c>
      <c r="J125" s="306">
        <f t="shared" si="15"/>
        <v>0</v>
      </c>
    </row>
    <row r="126" spans="2:20" x14ac:dyDescent="0.25">
      <c r="B126" s="213" t="s">
        <v>101</v>
      </c>
      <c r="C126" s="406" t="s">
        <v>208</v>
      </c>
      <c r="D126" s="27"/>
      <c r="E126" s="297">
        <v>35.96</v>
      </c>
      <c r="F126" s="297">
        <f>IF(F124=142.77,$E$126,F68*F90/F100*1000)</f>
        <v>35.96</v>
      </c>
      <c r="G126" s="297">
        <f>IF(G124=142.77,$E$126,G68*G90/G100*1000)</f>
        <v>35.96</v>
      </c>
      <c r="H126" s="297">
        <f>$H$75</f>
        <v>142.77000000000001</v>
      </c>
      <c r="I126" s="297">
        <f>$I$75</f>
        <v>142.77000000000001</v>
      </c>
      <c r="J126" s="306">
        <f>$J$75</f>
        <v>142.77000000000001</v>
      </c>
    </row>
    <row r="127" spans="2:20" x14ac:dyDescent="0.25">
      <c r="B127" s="213" t="s">
        <v>104</v>
      </c>
      <c r="C127" s="406" t="s">
        <v>208</v>
      </c>
      <c r="D127" s="27"/>
      <c r="E127" s="297">
        <f>E124</f>
        <v>142.76999999999998</v>
      </c>
      <c r="F127" s="297">
        <f>F124</f>
        <v>142.77000000000001</v>
      </c>
      <c r="G127" s="297">
        <f>G124</f>
        <v>142.77000000000001</v>
      </c>
      <c r="H127" s="297">
        <f>$H$75</f>
        <v>142.77000000000001</v>
      </c>
      <c r="I127" s="297">
        <f>$I$75</f>
        <v>142.77000000000001</v>
      </c>
      <c r="J127" s="306">
        <f>$J$75</f>
        <v>142.77000000000001</v>
      </c>
    </row>
    <row r="128" spans="2:20" x14ac:dyDescent="0.25">
      <c r="B128" s="213" t="s">
        <v>105</v>
      </c>
      <c r="C128" s="406" t="s">
        <v>208</v>
      </c>
      <c r="D128" s="27"/>
      <c r="E128" s="297">
        <f>E69*E78/E94*1000*(1-E85)</f>
        <v>142.76999999999998</v>
      </c>
      <c r="F128" s="297">
        <f>F69*F78/F94*1000*(1-F85)</f>
        <v>142.77000000000001</v>
      </c>
      <c r="G128" s="297">
        <f>G69*G78/G94*1000*(1-G85)</f>
        <v>142.77000000000001</v>
      </c>
      <c r="H128" s="297">
        <f>$H$75</f>
        <v>142.77000000000001</v>
      </c>
      <c r="I128" s="297">
        <f>$I$75</f>
        <v>142.77000000000001</v>
      </c>
      <c r="J128" s="306">
        <f>$J$75</f>
        <v>142.77000000000001</v>
      </c>
    </row>
    <row r="129" spans="2:10" x14ac:dyDescent="0.25">
      <c r="B129" s="213" t="s">
        <v>106</v>
      </c>
      <c r="C129" s="406" t="s">
        <v>208</v>
      </c>
      <c r="D129" s="27"/>
      <c r="E129" s="297">
        <f>E69*E78/E94*1000*(1-E86)</f>
        <v>142.76999999999998</v>
      </c>
      <c r="F129" s="297">
        <f>F69*F78/F94*1000*(1-F86)</f>
        <v>142.77000000000001</v>
      </c>
      <c r="G129" s="297">
        <f>G69*G78/G94*1000*(1-G86)</f>
        <v>142.77000000000001</v>
      </c>
      <c r="H129" s="297">
        <f>$H$75</f>
        <v>142.77000000000001</v>
      </c>
      <c r="I129" s="297">
        <f>$I$75</f>
        <v>142.77000000000001</v>
      </c>
      <c r="J129" s="306">
        <f>$J$75</f>
        <v>142.77000000000001</v>
      </c>
    </row>
    <row r="130" spans="2:10" x14ac:dyDescent="0.25">
      <c r="B130" s="213" t="s">
        <v>107</v>
      </c>
      <c r="C130" s="406" t="s">
        <v>208</v>
      </c>
      <c r="D130" s="28"/>
      <c r="E130" s="297">
        <f>(E69*E79+(E124-E128)*E98/1000)/(E102+E105+E103)*1000+E17/E102*1000+E14/(E102+E103+E105)*1000+((E124-E129)*E99)/(E102+E105)</f>
        <v>116.65766145808867</v>
      </c>
      <c r="F130" s="297">
        <f>(F69*F79+(F124-F128)*F98/1000)/(F102+F105+F103)*1000+F17/F102*1000+F14/(F102+F103+F105)*1000+((F124-F129)*F99)/(F102+F105)</f>
        <v>109.26534756520581</v>
      </c>
      <c r="G130" s="297">
        <f>(G69*G79)/(G102+G105+G103)*1000</f>
        <v>84.295247866741661</v>
      </c>
      <c r="H130" s="297">
        <f>+$H$79*$H$74/$H$101*1000</f>
        <v>170.13688224646125</v>
      </c>
      <c r="I130" s="297">
        <f>+$I$79*$I$74/$I$101*1000</f>
        <v>157.15948796112309</v>
      </c>
      <c r="J130" s="306">
        <f>+$J$79*$J$74/$J$101*1000</f>
        <v>166.78185248678719</v>
      </c>
    </row>
    <row r="131" spans="2:10" x14ac:dyDescent="0.25">
      <c r="B131" s="213" t="s">
        <v>108</v>
      </c>
      <c r="C131" s="406" t="s">
        <v>208</v>
      </c>
      <c r="D131" s="28"/>
      <c r="E131" s="297">
        <f>IF(E124=142.77,(E68-(E100*E126/1000))/E104*1000,E68*E91/E104*1000)</f>
        <v>46.699315120243895</v>
      </c>
      <c r="F131" s="297">
        <f>IF(F124=142.77,(F68-(F100*F126/1000))/F104*1000,F68*F91/F104*1000)</f>
        <v>40.552143722186159</v>
      </c>
      <c r="G131" s="297">
        <f>IF(G124=142.77,(G68-(G100*G126/1000))/G104*1000,G68*G91/G104*1000)</f>
        <v>61.866821156364438</v>
      </c>
      <c r="H131" s="297">
        <f>+$H$79*$H$74/$H$101*1000</f>
        <v>170.13688224646125</v>
      </c>
      <c r="I131" s="297">
        <f>+$I$79*$I$74/$I$101*1000</f>
        <v>157.15948796112309</v>
      </c>
      <c r="J131" s="306">
        <f>+$J$79*$J$74/$J$101*1000</f>
        <v>166.78185248678719</v>
      </c>
    </row>
    <row r="132" spans="2:10" x14ac:dyDescent="0.25">
      <c r="B132" s="213" t="s">
        <v>109</v>
      </c>
      <c r="C132" s="406" t="s">
        <v>208</v>
      </c>
      <c r="D132" s="28"/>
      <c r="E132" s="297">
        <f>(E69*E79+(E124-E128)*E98/1000)/(E102+E105+E103)*1000+E14/(E102+E103+E105)*1000+E18/(E103)*1000</f>
        <v>116.65766145808865</v>
      </c>
      <c r="F132" s="297">
        <f>(F69*F79+(F124-F128)*F98/1000)/(F102+F105+F103)*1000+F14/(F102+F103+F105)*1000+F18/(F103)*1000</f>
        <v>109.2653475652058</v>
      </c>
      <c r="G132" s="297">
        <f>(G69*G79)/(G102+G105+G103)*1000</f>
        <v>84.295247866741661</v>
      </c>
      <c r="H132" s="297">
        <f>+$H$79*$H$74/$H$101*1000</f>
        <v>170.13688224646125</v>
      </c>
      <c r="I132" s="297">
        <f>+$I$79*$I$74/$I$101*1000</f>
        <v>157.15948796112309</v>
      </c>
      <c r="J132" s="306">
        <f>+$J$79*$J$74/$J$101*1000</f>
        <v>166.78185248678719</v>
      </c>
    </row>
    <row r="133" spans="2:10" x14ac:dyDescent="0.25">
      <c r="B133" s="213" t="s">
        <v>209</v>
      </c>
      <c r="C133" s="406" t="s">
        <v>208</v>
      </c>
      <c r="D133" s="27"/>
      <c r="E133" s="297">
        <f>(E69*E79+(E124-E128)*E98/1000)/(E102+E105+E103)*1000+E19/E105*1000+E41/E105*1000+E14/(E102+E103+E105)*1000+((E124-E129)*E99)/(E102+E105)</f>
        <v>41.223226971799264</v>
      </c>
      <c r="F133" s="297">
        <f>(F69*F79+(F124-F128)*F98/1000)/(F102+F105+F103)*1000+F19/F105*1000+F41/F105*1000+F14/(F102+F103+F105)*1000+((F124-F129)*F99)/(F102+F105)</f>
        <v>66.600468053095881</v>
      </c>
      <c r="G133" s="297">
        <f>(G69*G79)/(G102+G105+G103)*1000+G41/G105*1000</f>
        <v>65.336208015787292</v>
      </c>
      <c r="H133" s="297">
        <f>+$H$79*$H$74/$H$101*1000</f>
        <v>170.13688224646125</v>
      </c>
      <c r="I133" s="297">
        <f>+$I$79*$I$74/$I$101*1000</f>
        <v>157.15948796112309</v>
      </c>
      <c r="J133" s="306">
        <f>+$J$79*$J$74/$J$101*1000</f>
        <v>166.78185248678719</v>
      </c>
    </row>
    <row r="134" spans="2:10" x14ac:dyDescent="0.25">
      <c r="B134" s="214" t="s">
        <v>210</v>
      </c>
      <c r="C134" s="407" t="s">
        <v>208</v>
      </c>
      <c r="D134" s="67"/>
      <c r="E134" s="217">
        <f t="shared" ref="E134:E135" si="16">+E56/E106*1000</f>
        <v>59.637483815225735</v>
      </c>
      <c r="F134" s="217">
        <f>+F56/F106*1000</f>
        <v>41.331300657335667</v>
      </c>
      <c r="G134" s="217">
        <f>+G56/G106*1000</f>
        <v>55.411285398910429</v>
      </c>
      <c r="H134" s="298" t="s">
        <v>5</v>
      </c>
      <c r="I134" s="298" t="s">
        <v>5</v>
      </c>
      <c r="J134" s="231" t="s">
        <v>5</v>
      </c>
    </row>
    <row r="135" spans="2:10" x14ac:dyDescent="0.25">
      <c r="B135" s="214" t="s">
        <v>211</v>
      </c>
      <c r="C135" s="407" t="s">
        <v>208</v>
      </c>
      <c r="D135" s="67"/>
      <c r="E135" s="217">
        <f t="shared" si="16"/>
        <v>5.1493712802793281</v>
      </c>
      <c r="F135" s="217">
        <f>+F57/F107*1000</f>
        <v>3.6818393840681671</v>
      </c>
      <c r="G135" s="217">
        <f>+G57/G107*1000</f>
        <v>4.1844873983235038</v>
      </c>
      <c r="H135" s="298" t="s">
        <v>5</v>
      </c>
      <c r="I135" s="298" t="s">
        <v>5</v>
      </c>
      <c r="J135" s="231" t="s">
        <v>5</v>
      </c>
    </row>
    <row r="136" spans="2:10" x14ac:dyDescent="0.25">
      <c r="B136" s="213" t="s">
        <v>212</v>
      </c>
      <c r="C136" s="406" t="s">
        <v>208</v>
      </c>
      <c r="D136" s="67"/>
      <c r="E136" s="297">
        <f>+E133+E134</f>
        <v>100.860710787025</v>
      </c>
      <c r="F136" s="297">
        <f>+F133+F134</f>
        <v>107.93176871043156</v>
      </c>
      <c r="G136" s="297">
        <f>+G133+G134</f>
        <v>120.74749341469771</v>
      </c>
      <c r="H136" s="299">
        <f>H133</f>
        <v>170.13688224646125</v>
      </c>
      <c r="I136" s="299">
        <f t="shared" ref="I136:J136" si="17">I133</f>
        <v>157.15948796112309</v>
      </c>
      <c r="J136" s="233">
        <f t="shared" si="17"/>
        <v>166.78185248678719</v>
      </c>
    </row>
    <row r="137" spans="2:10" x14ac:dyDescent="0.25">
      <c r="B137" s="213" t="s">
        <v>213</v>
      </c>
      <c r="C137" s="406" t="s">
        <v>208</v>
      </c>
      <c r="D137" s="67"/>
      <c r="E137" s="297">
        <f>+E133+E135</f>
        <v>46.372598252078589</v>
      </c>
      <c r="F137" s="297">
        <f>+F133+F135</f>
        <v>70.28230743716405</v>
      </c>
      <c r="G137" s="297">
        <f>+G133+G135</f>
        <v>69.52069541411079</v>
      </c>
      <c r="H137" s="299">
        <f>H133</f>
        <v>170.13688224646125</v>
      </c>
      <c r="I137" s="299">
        <f t="shared" ref="I137:J137" si="18">I133</f>
        <v>157.15948796112309</v>
      </c>
      <c r="J137" s="233">
        <f t="shared" si="18"/>
        <v>166.78185248678719</v>
      </c>
    </row>
    <row r="138" spans="2:10" ht="15.75" x14ac:dyDescent="0.25">
      <c r="B138" s="212" t="s">
        <v>214</v>
      </c>
      <c r="C138" s="404"/>
      <c r="D138" s="405"/>
      <c r="E138" s="300" t="s">
        <v>220</v>
      </c>
      <c r="F138" s="300" t="s">
        <v>221</v>
      </c>
      <c r="G138" s="300" t="s">
        <v>222</v>
      </c>
      <c r="H138" s="300" t="s">
        <v>223</v>
      </c>
      <c r="I138" s="300" t="s">
        <v>223</v>
      </c>
      <c r="J138" s="307" t="s">
        <v>223</v>
      </c>
    </row>
    <row r="139" spans="2:10" x14ac:dyDescent="0.25">
      <c r="B139" s="212"/>
      <c r="C139" s="404"/>
      <c r="D139" s="405"/>
      <c r="E139" s="301"/>
      <c r="F139" s="301"/>
      <c r="G139" s="301"/>
      <c r="H139" s="301"/>
      <c r="I139" s="301"/>
      <c r="J139" s="308"/>
    </row>
    <row r="140" spans="2:10" x14ac:dyDescent="0.25">
      <c r="B140" s="213" t="s">
        <v>107</v>
      </c>
      <c r="C140" s="406" t="s">
        <v>6</v>
      </c>
      <c r="D140" s="27"/>
      <c r="E140" s="297">
        <f>E154</f>
        <v>9.1981933369102722E-2</v>
      </c>
      <c r="F140" s="297">
        <f>F154</f>
        <v>0.17357743896709932</v>
      </c>
      <c r="G140" s="297">
        <f>G154</f>
        <v>0.10758483622952369</v>
      </c>
      <c r="H140" s="297">
        <f>H154</f>
        <v>0.12494961652410215</v>
      </c>
      <c r="I140" s="297">
        <f t="shared" ref="I140:J140" si="19">I154</f>
        <v>0.14223599531275544</v>
      </c>
      <c r="J140" s="306">
        <f t="shared" si="19"/>
        <v>0.14223599531275544</v>
      </c>
    </row>
    <row r="141" spans="2:10" x14ac:dyDescent="0.25">
      <c r="B141" s="213" t="s">
        <v>108</v>
      </c>
      <c r="C141" s="406" t="s">
        <v>6</v>
      </c>
      <c r="D141" s="27"/>
      <c r="E141" s="297">
        <f>E140</f>
        <v>9.1981933369102722E-2</v>
      </c>
      <c r="F141" s="297">
        <f>F140</f>
        <v>0.17357743896709932</v>
      </c>
      <c r="G141" s="297">
        <f>G140</f>
        <v>0.10758483622952369</v>
      </c>
      <c r="H141" s="297">
        <f>H140</f>
        <v>0.12494961652410215</v>
      </c>
      <c r="I141" s="297">
        <f t="shared" ref="I141:J141" si="20">I140</f>
        <v>0.14223599531275544</v>
      </c>
      <c r="J141" s="306">
        <f t="shared" si="20"/>
        <v>0.14223599531275544</v>
      </c>
    </row>
    <row r="142" spans="2:10" x14ac:dyDescent="0.25">
      <c r="B142" s="213" t="s">
        <v>110</v>
      </c>
      <c r="C142" s="406" t="s">
        <v>6</v>
      </c>
      <c r="D142" s="27"/>
      <c r="E142" s="297">
        <f t="shared" ref="E142" si="21">E141</f>
        <v>9.1981933369102722E-2</v>
      </c>
      <c r="F142" s="297">
        <f t="shared" ref="F142:H144" si="22">F141</f>
        <v>0.17357743896709932</v>
      </c>
      <c r="G142" s="297">
        <f t="shared" si="22"/>
        <v>0.10758483622952369</v>
      </c>
      <c r="H142" s="297">
        <f t="shared" si="22"/>
        <v>0.12494961652410215</v>
      </c>
      <c r="I142" s="297">
        <f t="shared" ref="I142:J142" si="23">I141</f>
        <v>0.14223599531275544</v>
      </c>
      <c r="J142" s="306">
        <f t="shared" si="23"/>
        <v>0.14223599531275544</v>
      </c>
    </row>
    <row r="143" spans="2:10" x14ac:dyDescent="0.25">
      <c r="B143" s="213" t="s">
        <v>111</v>
      </c>
      <c r="C143" s="406" t="s">
        <v>6</v>
      </c>
      <c r="D143" s="27"/>
      <c r="E143" s="297">
        <f t="shared" ref="E143" si="24">E142</f>
        <v>9.1981933369102722E-2</v>
      </c>
      <c r="F143" s="297">
        <f t="shared" si="22"/>
        <v>0.17357743896709932</v>
      </c>
      <c r="G143" s="297">
        <f t="shared" si="22"/>
        <v>0.10758483622952369</v>
      </c>
      <c r="H143" s="297">
        <f t="shared" si="22"/>
        <v>0.12494961652410215</v>
      </c>
      <c r="I143" s="297">
        <f t="shared" ref="I143:J143" si="25">I142</f>
        <v>0.14223599531275544</v>
      </c>
      <c r="J143" s="306">
        <f t="shared" si="25"/>
        <v>0.14223599531275544</v>
      </c>
    </row>
    <row r="144" spans="2:10" x14ac:dyDescent="0.25">
      <c r="B144" s="213" t="s">
        <v>204</v>
      </c>
      <c r="C144" s="406" t="s">
        <v>6</v>
      </c>
      <c r="D144" s="27"/>
      <c r="E144" s="297">
        <f t="shared" ref="E144" si="26">E143</f>
        <v>9.1981933369102722E-2</v>
      </c>
      <c r="F144" s="297">
        <f t="shared" si="22"/>
        <v>0.17357743896709932</v>
      </c>
      <c r="G144" s="297">
        <f t="shared" si="22"/>
        <v>0.10758483622952369</v>
      </c>
      <c r="H144" s="297">
        <f t="shared" si="22"/>
        <v>0.12494961652410215</v>
      </c>
      <c r="I144" s="297">
        <f t="shared" ref="I144:J144" si="27">I143</f>
        <v>0.14223599531275544</v>
      </c>
      <c r="J144" s="306">
        <f t="shared" si="27"/>
        <v>0.14223599531275544</v>
      </c>
    </row>
    <row r="145" spans="2:10" ht="15.6" customHeight="1" x14ac:dyDescent="0.25">
      <c r="B145" s="212" t="s">
        <v>7</v>
      </c>
      <c r="C145" s="404"/>
      <c r="D145" s="405"/>
      <c r="E145" s="300" t="s">
        <v>220</v>
      </c>
      <c r="F145" s="300" t="s">
        <v>221</v>
      </c>
      <c r="G145" s="300" t="s">
        <v>222</v>
      </c>
      <c r="H145" s="300" t="s">
        <v>223</v>
      </c>
      <c r="I145" s="300" t="s">
        <v>223</v>
      </c>
      <c r="J145" s="307" t="s">
        <v>223</v>
      </c>
    </row>
    <row r="146" spans="2:10" x14ac:dyDescent="0.25">
      <c r="B146" s="212"/>
      <c r="C146" s="404"/>
      <c r="D146" s="405"/>
      <c r="E146" s="302"/>
      <c r="F146" s="302"/>
      <c r="G146" s="302"/>
      <c r="H146" s="302"/>
      <c r="I146" s="302"/>
      <c r="J146" s="309"/>
    </row>
    <row r="147" spans="2:10" x14ac:dyDescent="0.25">
      <c r="B147" s="213" t="s">
        <v>110</v>
      </c>
      <c r="C147" s="406" t="s">
        <v>208</v>
      </c>
      <c r="D147" s="27"/>
      <c r="E147" s="297">
        <f t="shared" ref="E147:E148" si="28">+E53/E116*1000</f>
        <v>65.797455202549372</v>
      </c>
      <c r="F147" s="297">
        <f>+F53/F116*1000</f>
        <v>51.480156637343264</v>
      </c>
      <c r="G147" s="297">
        <f>+G53/G116*1000</f>
        <v>50.375252948713076</v>
      </c>
      <c r="H147" s="298">
        <v>0</v>
      </c>
      <c r="I147" s="298">
        <v>0</v>
      </c>
      <c r="J147" s="231">
        <v>0</v>
      </c>
    </row>
    <row r="148" spans="2:10" ht="17.45" customHeight="1" thickBot="1" x14ac:dyDescent="0.3">
      <c r="B148" s="215" t="s">
        <v>111</v>
      </c>
      <c r="C148" s="216" t="s">
        <v>208</v>
      </c>
      <c r="D148" s="408"/>
      <c r="E148" s="409">
        <f t="shared" si="28"/>
        <v>12.015199653985096</v>
      </c>
      <c r="F148" s="409">
        <f>+F54/F117*1000</f>
        <v>8.5909585628257243</v>
      </c>
      <c r="G148" s="409">
        <f>+G54/G117*1000</f>
        <v>15.151213417569132</v>
      </c>
      <c r="H148" s="410">
        <v>0</v>
      </c>
      <c r="I148" s="410">
        <v>0</v>
      </c>
      <c r="J148" s="411">
        <v>0</v>
      </c>
    </row>
    <row r="150" spans="2:10" ht="15.75" customHeight="1" x14ac:dyDescent="0.25"/>
    <row r="152" spans="2:10" ht="15.6" customHeight="1" x14ac:dyDescent="0.25">
      <c r="B152" s="218" t="s">
        <v>215</v>
      </c>
      <c r="C152" s="219"/>
      <c r="D152" s="220"/>
      <c r="E152" s="221" t="s">
        <v>220</v>
      </c>
      <c r="F152" s="221" t="s">
        <v>221</v>
      </c>
      <c r="G152" s="221" t="s">
        <v>222</v>
      </c>
      <c r="H152" s="221" t="s">
        <v>223</v>
      </c>
      <c r="I152" s="221" t="s">
        <v>224</v>
      </c>
      <c r="J152" s="222" t="s">
        <v>225</v>
      </c>
    </row>
    <row r="153" spans="2:10" x14ac:dyDescent="0.25">
      <c r="B153" s="223" t="s">
        <v>216</v>
      </c>
      <c r="C153" s="293"/>
      <c r="D153" s="67"/>
      <c r="E153" s="137"/>
      <c r="F153" s="137"/>
      <c r="G153" s="137"/>
      <c r="H153" s="137"/>
      <c r="I153" s="137"/>
      <c r="J153" s="224"/>
    </row>
    <row r="154" spans="2:10" x14ac:dyDescent="0.25">
      <c r="B154" s="225" t="s">
        <v>217</v>
      </c>
      <c r="C154" s="226" t="s">
        <v>6</v>
      </c>
      <c r="D154" s="227"/>
      <c r="E154" s="294">
        <f>IF(E83=0%,"N/A",E83*E12/(E110/1000))</f>
        <v>9.1981933369102722E-2</v>
      </c>
      <c r="F154" s="294">
        <f>IF(F83=0%,"N/A",F83*F12/(F110/1000))</f>
        <v>0.17357743896709932</v>
      </c>
      <c r="G154" s="294">
        <f>IF(G83=0%,"N/A",G83*G12/(G110/1000))</f>
        <v>0.10758483622952369</v>
      </c>
      <c r="H154" s="294">
        <f>IF(H83=0%,"N/A",H83*H12/(H110/1000))</f>
        <v>0.12494961652410215</v>
      </c>
      <c r="I154" s="294">
        <f t="shared" ref="I154:J154" si="29">IF(I83=0%,"N/A",I83*I12/(I110/1000))</f>
        <v>0.14223599531275544</v>
      </c>
      <c r="J154" s="295">
        <f t="shared" si="29"/>
        <v>0.14223599531275544</v>
      </c>
    </row>
    <row r="159" spans="2:10" x14ac:dyDescent="0.25">
      <c r="I159" s="60"/>
      <c r="J159" s="60"/>
    </row>
    <row r="160" spans="2:10" x14ac:dyDescent="0.25">
      <c r="I160" s="60"/>
      <c r="J160" s="60"/>
    </row>
    <row r="167" spans="10:12" collapsed="1" x14ac:dyDescent="0.25">
      <c r="K167" s="4"/>
      <c r="L167" s="71"/>
    </row>
    <row r="168" spans="10:12" x14ac:dyDescent="0.25">
      <c r="K168" s="4"/>
      <c r="L168" s="4"/>
    </row>
    <row r="169" spans="10:12" x14ac:dyDescent="0.25">
      <c r="J169" s="60"/>
      <c r="K169" s="4"/>
      <c r="L169" s="4"/>
    </row>
    <row r="170" spans="10:12" x14ac:dyDescent="0.25">
      <c r="J170" s="60"/>
      <c r="K170" s="4"/>
      <c r="L170" s="4"/>
    </row>
    <row r="171" spans="10:12" x14ac:dyDescent="0.25">
      <c r="L171" s="4"/>
    </row>
    <row r="172" spans="10:12" x14ac:dyDescent="0.25">
      <c r="L172" s="4"/>
    </row>
    <row r="174" spans="10:12" x14ac:dyDescent="0.25">
      <c r="L174" s="4"/>
    </row>
  </sheetData>
  <protectedRanges>
    <protectedRange sqref="E97:J97" name="Range1_7_1" securityDescriptor="O:WDG:WDD:(A;;CC;;;S-1-5-21-1823811621-336188519-2245429935-571)"/>
  </protectedRanges>
  <dataConsolidate/>
  <mergeCells count="20">
    <mergeCell ref="AA1:AD1"/>
    <mergeCell ref="H47:J57"/>
    <mergeCell ref="H40:H44"/>
    <mergeCell ref="E9:J9"/>
    <mergeCell ref="B1:F1"/>
    <mergeCell ref="G1:K1"/>
    <mergeCell ref="L1:P1"/>
    <mergeCell ref="Q1:U1"/>
    <mergeCell ref="V1:Z1"/>
    <mergeCell ref="B4:F4"/>
    <mergeCell ref="B9:C9"/>
    <mergeCell ref="B41:B42"/>
    <mergeCell ref="B43:B44"/>
    <mergeCell ref="H5:I5"/>
    <mergeCell ref="H26:H38"/>
    <mergeCell ref="H63:J72"/>
    <mergeCell ref="I26:I38"/>
    <mergeCell ref="I40:I44"/>
    <mergeCell ref="J26:J38"/>
    <mergeCell ref="J40:J44"/>
  </mergeCells>
  <phoneticPr fontId="37" type="noConversion"/>
  <dataValidations disablePrompts="1" count="19">
    <dataValidation type="decimal" allowBlank="1" showErrorMessage="1" errorTitle="Invalid data" error="Values between 0% and 100% must be entered." sqref="E85:J87" xr:uid="{5D737DEC-60D1-479F-A503-9511234D283F}">
      <formula1>0</formula1>
      <formula2>1</formula2>
    </dataValidation>
    <dataValidation type="list" allowBlank="1" showInputMessage="1" showErrorMessage="1" sqref="D78 D82 D90 D85:D88" xr:uid="{3B24BE0A-4634-49FF-8119-2EAE2E4E740D}">
      <formula1>#REF!</formula1>
    </dataValidation>
    <dataValidation type="decimal" allowBlank="1" showInputMessage="1" showErrorMessage="1" errorTitle="Invalid data" error="Values between 0% and 100% must be entered." sqref="E37:G38 E82:J82" xr:uid="{B33A7EC3-B3AE-4B0E-8A4E-E5AA4B157798}">
      <formula1>0</formula1>
      <formula2>1</formula2>
    </dataValidation>
    <dataValidation type="decimal" showErrorMessage="1" errorTitle="Invalid data" error="Values between 0% and 100% must be entered." sqref="E78:J78" xr:uid="{586AACA9-B840-4192-BDAA-1C9E78E5CAE2}">
      <formula1>0</formula1>
      <formula2>1</formula2>
    </dataValidation>
    <dataValidation type="whole" allowBlank="1" showInputMessage="1" showErrorMessage="1" errorTitle="Invalid data" error="Values between 0 and the part of allowed revenue allocated for Primary network must be entered." sqref="E27:G27" xr:uid="{389116BC-EC64-40D7-A543-F7AA498E45EC}">
      <formula1>0</formula1>
      <formula2>E26</formula2>
    </dataValidation>
    <dataValidation type="decimal" operator="greaterThanOrEqual" allowBlank="1" showInputMessage="1" showErrorMessage="1" errorTitle="Invalid data" error="Values greater than or equal to the part of allowed revenue allocated for transportation to 3rd country service must be entered." sqref="E26:G26" xr:uid="{6B8090C8-DBA0-4433-BC57-504870521159}">
      <formula1>E27</formula1>
    </dataValidation>
    <dataValidation type="decimal" allowBlank="1" showErrorMessage="1" errorTitle="Invalid data" error="Values between 1 and the difference between 200000 and capacity booking (at Domestic Exit Point) of Group with annual Q &lt;=10.4 TWh must be entered." sqref="E107:J107" xr:uid="{0D461B01-0372-412C-BDBB-77AF14DEA80C}">
      <formula1>1</formula1>
      <formula2>200000-E106</formula2>
    </dataValidation>
    <dataValidation type="decimal" operator="greaterThanOrEqual" allowBlank="1" showInputMessage="1" showErrorMessage="1" errorTitle="Invalid data" error="Values greater than or equal to the Quantity attributed to the Group of network users with annual Q &lt;= 10.4 TWh must be entered." sqref="E112:G112 K112" xr:uid="{95576FBA-491A-4466-9663-F949F96D28C2}">
      <formula1>E119</formula1>
    </dataValidation>
    <dataValidation type="whole" allowBlank="1" showInputMessage="1" showErrorMessage="1" errorTitle="Invalid data" error="Values between 1 and total Domestic Exit Point's Quantity of gas transported must be entered." sqref="E119:J119" xr:uid="{B5E5A35F-7A6E-4A6A-B794-043817D8FC6F}">
      <formula1>1</formula1>
      <formula2>E118</formula2>
    </dataValidation>
    <dataValidation type="decimal" allowBlank="1" showInputMessage="1" showErrorMessage="1" errorTitle="Invalid data" error="Values between 1 and the difference between 390533,47 (i.e. the sum of all technical capacity of all Entry (excluding Klaipėda) points) and capacity booking at Šakiai Exit Point must be entered." sqref="E97:J97" xr:uid="{EE42EDC6-D463-45DD-BD03-4128ECCEF3CA}">
      <formula1>1</formula1>
      <formula2>390533.47-E104</formula2>
    </dataValidation>
    <dataValidation type="decimal" allowBlank="1" showInputMessage="1" showErrorMessage="1" errorTitle="Invalid data" error="Values between 0 and 67600 (i.e. not greater than technical capacity) must be entered." sqref="K102 H24:J24 E102:J103" xr:uid="{BA249ABC-861A-4740-80AC-74ED33659DC2}">
      <formula1>0</formula1>
      <formula2>67600</formula2>
    </dataValidation>
    <dataValidation type="decimal" showErrorMessage="1" errorTitle="Invalid data" error="Values between 1 and 114200 (i.e. not greater than technical capacity) must be entered." sqref="E104:J104" xr:uid="{71CC4CB0-168F-4B85-9E65-F8623F144C4A}">
      <formula1>1</formula1>
      <formula2>114200</formula2>
    </dataValidation>
    <dataValidation allowBlank="1" showErrorMessage="1" sqref="E105:K105" xr:uid="{10696B05-D194-492F-8337-DAE3344A92C0}"/>
    <dataValidation type="decimal" allowBlank="1" showErrorMessage="1" errorTitle="Invalid data" error="Values between 1 and 200000 must be entered." sqref="E106:J106" xr:uid="{ABF4080D-C8F0-4697-9943-55D11914B66D}">
      <formula1>1</formula1>
      <formula2>200000</formula2>
    </dataValidation>
    <dataValidation type="decimal" showErrorMessage="1" errorTitle="Invalid data" error="Values between 1 and 114200 (i.e. not greater than technical capacity at Šakiai Exit Point) must be entered." sqref="E100:J100" xr:uid="{93A7EAAE-5B78-4697-A5F5-98187BF1EB5A}">
      <formula1>1</formula1>
      <formula2>114200</formula2>
    </dataValidation>
    <dataValidation type="decimal" operator="greaterThanOrEqual" allowBlank="1" showInputMessage="1" showErrorMessage="1" errorTitle="Invalid data" error="Values greater than or equal to 0 must be entered." sqref="E111:J111 E113:J114 K113" xr:uid="{7D8436CA-A6A1-41B4-9949-9A585753AC86}">
      <formula1>0</formula1>
    </dataValidation>
    <dataValidation type="decimal" allowBlank="1" showInputMessage="1" showErrorMessage="1" errorTitle="Invalid data" error="Values between 0 and 122350 (i.e. not greater than technical capacity) must be entered." sqref="E98:G99 H99:J99" xr:uid="{15222EFF-2DAC-40F9-AEF2-28D6424B0A77}">
      <formula1>0</formula1>
      <formula2>122350</formula2>
    </dataValidation>
    <dataValidation type="decimal" operator="lessThanOrEqual" allowBlank="1" showInputMessage="1" showErrorMessage="1" errorTitle="Invalid data" error="Values between 0 and the part of redistribution of LNGT discount for (LT&gt;LV) Kiemenai Exit point must be entered." sqref="H18:J19" xr:uid="{865A6FF6-0C84-464D-A29A-C10344B0269D}">
      <formula1>H17</formula1>
    </dataValidation>
    <dataValidation type="decimal" allowBlank="1" showErrorMessage="1" errorTitle="Invalid data" error="Values between 1 and the difference between 200000 and capacity booking (at Domestic Exit Point) of Group with annual Q &lt;=10.4 TWh must be entered." sqref="K107" xr:uid="{26EC9885-45A4-46C1-B492-9A6194C096CB}">
      <formula1>1</formula1>
      <formula2>200000-J106</formula2>
    </dataValidation>
  </dataValidations>
  <pageMargins left="0.7" right="0.7" top="0.75" bottom="0.75" header="0.3" footer="0.3"/>
  <pageSetup paperSize="9" scale="2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E230"/>
  <sheetViews>
    <sheetView showGridLines="0" zoomScale="85" zoomScaleNormal="85" workbookViewId="0">
      <selection activeCell="B15" sqref="B15"/>
    </sheetView>
  </sheetViews>
  <sheetFormatPr defaultRowHeight="15" x14ac:dyDescent="0.25"/>
  <cols>
    <col min="1" max="1" width="2.140625" customWidth="1"/>
    <col min="2" max="2" width="59.7109375" customWidth="1"/>
    <col min="3" max="3" width="12.140625" customWidth="1"/>
    <col min="4" max="19" width="6.7109375" customWidth="1"/>
    <col min="20" max="20" width="9.42578125" customWidth="1"/>
    <col min="21" max="23" width="6.7109375" customWidth="1"/>
    <col min="24" max="24" width="6" bestFit="1" customWidth="1"/>
    <col min="25" max="30" width="6.7109375" customWidth="1"/>
    <col min="31" max="31" width="6.85546875" bestFit="1" customWidth="1"/>
    <col min="32" max="43" width="6.7109375" bestFit="1" customWidth="1"/>
    <col min="44" max="44" width="54.85546875" customWidth="1"/>
    <col min="45" max="45" width="27" customWidth="1"/>
    <col min="46" max="46" width="18.42578125" customWidth="1"/>
    <col min="47" max="47" width="37.42578125" customWidth="1"/>
    <col min="48" max="48" width="13.85546875" customWidth="1"/>
    <col min="49" max="49" width="41" customWidth="1"/>
    <col min="50" max="50" width="16.42578125" bestFit="1" customWidth="1"/>
    <col min="51" max="51" width="16.85546875" customWidth="1"/>
    <col min="52" max="52" width="15" customWidth="1"/>
    <col min="53" max="53" width="16" customWidth="1"/>
    <col min="54" max="54" width="13.85546875" customWidth="1"/>
  </cols>
  <sheetData>
    <row r="1" spans="2:36" ht="23.25" x14ac:dyDescent="0.25">
      <c r="B1" s="34" t="s">
        <v>74</v>
      </c>
      <c r="C1" s="64"/>
      <c r="D1" s="64"/>
      <c r="E1" s="64"/>
      <c r="F1" s="64"/>
      <c r="G1" s="64"/>
      <c r="H1" s="64"/>
      <c r="I1" s="64"/>
      <c r="J1" s="64"/>
      <c r="K1" s="64"/>
      <c r="L1" s="64"/>
      <c r="M1" s="64"/>
      <c r="N1" s="64"/>
      <c r="O1" s="64"/>
      <c r="P1" s="64"/>
      <c r="Q1" s="64"/>
      <c r="R1" s="64"/>
      <c r="S1" s="64"/>
      <c r="T1" s="64"/>
      <c r="U1" s="64"/>
      <c r="V1" s="64"/>
      <c r="W1" s="32"/>
    </row>
    <row r="2" spans="2:36" ht="10.5" customHeight="1" x14ac:dyDescent="0.25">
      <c r="B2" s="11" t="s">
        <v>32</v>
      </c>
      <c r="C2" s="64"/>
      <c r="D2" s="64"/>
      <c r="E2" s="64"/>
      <c r="F2" s="64"/>
      <c r="G2" s="64"/>
      <c r="H2" s="64"/>
      <c r="I2" s="64"/>
      <c r="J2" s="64"/>
      <c r="K2" s="64"/>
      <c r="L2" s="64"/>
      <c r="M2" s="64"/>
      <c r="N2" s="64"/>
      <c r="O2" s="64"/>
      <c r="P2" s="64"/>
      <c r="Q2" s="64"/>
      <c r="R2" s="64"/>
      <c r="S2" s="64"/>
      <c r="T2" s="64"/>
      <c r="U2" s="64"/>
      <c r="V2" s="64"/>
      <c r="W2" s="32"/>
    </row>
    <row r="3" spans="2:36" ht="10.9" customHeight="1" x14ac:dyDescent="0.25">
      <c r="B3" s="176" t="s">
        <v>31</v>
      </c>
      <c r="C3" s="3"/>
      <c r="D3" s="3"/>
      <c r="E3" s="3"/>
      <c r="F3" s="3"/>
      <c r="G3" s="3"/>
      <c r="H3" s="3"/>
      <c r="I3" s="3"/>
      <c r="J3" s="3"/>
      <c r="K3" s="3"/>
      <c r="L3" s="3"/>
      <c r="M3" s="3"/>
      <c r="N3" s="3"/>
      <c r="O3" s="3"/>
      <c r="P3" s="3"/>
      <c r="Q3" s="3"/>
      <c r="R3" s="3"/>
      <c r="S3" s="3"/>
      <c r="T3" s="12"/>
      <c r="U3" s="12"/>
      <c r="V3" s="12"/>
      <c r="W3" s="12"/>
    </row>
    <row r="4" spans="2:36" x14ac:dyDescent="0.25">
      <c r="B4" s="389" t="s">
        <v>218</v>
      </c>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row>
    <row r="5" spans="2:36" x14ac:dyDescent="0.25">
      <c r="B5" s="11" t="s">
        <v>219</v>
      </c>
      <c r="C5" s="11"/>
      <c r="D5" s="11"/>
      <c r="F5" s="3">
        <v>2.5000000000000001E-2</v>
      </c>
      <c r="G5" s="11" t="s">
        <v>8</v>
      </c>
      <c r="I5" s="3"/>
      <c r="J5" s="3"/>
      <c r="K5" s="3"/>
      <c r="L5" s="3"/>
      <c r="M5" s="3"/>
      <c r="N5" s="3"/>
      <c r="O5" s="3"/>
      <c r="P5" s="3"/>
      <c r="Q5" s="3"/>
      <c r="R5" s="3"/>
      <c r="S5" s="3"/>
    </row>
    <row r="6" spans="2:36" ht="16.149999999999999" customHeight="1" x14ac:dyDescent="0.25">
      <c r="B6" s="390" t="s">
        <v>75</v>
      </c>
      <c r="C6" s="390"/>
      <c r="D6" s="390"/>
      <c r="E6" s="390"/>
      <c r="F6" s="390"/>
      <c r="G6" s="390"/>
      <c r="H6" s="390"/>
      <c r="I6" s="390"/>
      <c r="J6" s="390"/>
      <c r="K6" s="390"/>
      <c r="L6" s="390"/>
      <c r="M6" s="390"/>
      <c r="N6" s="390"/>
      <c r="O6" s="390"/>
      <c r="P6" s="390"/>
      <c r="Q6" s="390"/>
      <c r="R6" s="390"/>
      <c r="S6" s="390"/>
      <c r="T6" s="140"/>
      <c r="U6" s="140"/>
      <c r="V6" s="140"/>
      <c r="W6" s="140"/>
      <c r="X6" s="140"/>
      <c r="Y6" s="140"/>
      <c r="Z6" s="140"/>
      <c r="AA6" s="140"/>
      <c r="AB6" s="140"/>
      <c r="AC6" s="140"/>
      <c r="AD6" s="140"/>
      <c r="AE6" s="140"/>
      <c r="AF6" s="140"/>
      <c r="AG6" s="140"/>
      <c r="AH6" s="140"/>
      <c r="AI6" s="140"/>
      <c r="AJ6" s="140"/>
    </row>
    <row r="7" spans="2:36" s="45" customFormat="1" ht="6" customHeight="1" x14ac:dyDescent="0.25">
      <c r="B7" s="36"/>
      <c r="C7" s="36"/>
      <c r="D7" s="36"/>
      <c r="E7" s="36"/>
      <c r="F7" s="36"/>
      <c r="G7" s="36"/>
      <c r="H7" s="36"/>
      <c r="I7" s="36"/>
      <c r="J7" s="36"/>
      <c r="K7" s="36"/>
      <c r="L7" s="36"/>
      <c r="M7" s="36"/>
      <c r="N7" s="36"/>
      <c r="O7" s="36"/>
      <c r="P7" s="36"/>
      <c r="Q7" s="36"/>
      <c r="R7" s="36"/>
      <c r="S7" s="36"/>
    </row>
    <row r="8" spans="2:36" x14ac:dyDescent="0.25">
      <c r="B8" s="394" t="s">
        <v>76</v>
      </c>
      <c r="C8" s="394"/>
      <c r="D8" s="394"/>
      <c r="E8" s="394"/>
      <c r="F8" s="394"/>
      <c r="G8" s="394"/>
      <c r="H8" s="394"/>
      <c r="I8" s="394"/>
      <c r="J8" s="394"/>
      <c r="K8" s="394"/>
      <c r="L8" s="394"/>
      <c r="M8" s="394"/>
      <c r="N8" s="394"/>
      <c r="O8" s="394"/>
      <c r="P8" s="394"/>
      <c r="Q8" s="394"/>
      <c r="R8" s="394"/>
      <c r="S8" s="394"/>
      <c r="T8" s="394"/>
      <c r="U8" s="394"/>
      <c r="V8" s="394"/>
      <c r="W8" s="394"/>
      <c r="X8" s="394"/>
      <c r="Y8" s="394"/>
      <c r="Z8" s="394"/>
      <c r="AA8" s="394"/>
      <c r="AB8" s="394"/>
      <c r="AC8" s="394"/>
      <c r="AD8" s="394"/>
      <c r="AE8" s="394"/>
      <c r="AF8" s="394"/>
      <c r="AG8" s="394"/>
      <c r="AH8" s="394"/>
      <c r="AI8" s="394"/>
      <c r="AJ8" s="394"/>
    </row>
    <row r="9" spans="2:36" ht="41.45" customHeight="1" x14ac:dyDescent="0.25">
      <c r="B9" s="386" t="s">
        <v>77</v>
      </c>
      <c r="C9" s="165" t="s">
        <v>78</v>
      </c>
      <c r="D9" s="387" t="s">
        <v>79</v>
      </c>
      <c r="E9" s="387"/>
      <c r="F9" s="387"/>
      <c r="G9" s="387"/>
      <c r="H9" s="388" t="s">
        <v>80</v>
      </c>
      <c r="I9" s="388"/>
      <c r="J9" s="388"/>
      <c r="K9" s="388"/>
      <c r="L9" s="388"/>
      <c r="M9" s="388"/>
      <c r="N9" s="388"/>
      <c r="O9" s="388"/>
      <c r="P9" s="388"/>
      <c r="Q9" s="388"/>
      <c r="R9" s="388"/>
      <c r="S9" s="388"/>
      <c r="T9" s="165" t="s">
        <v>81</v>
      </c>
      <c r="U9" s="387" t="s">
        <v>79</v>
      </c>
      <c r="V9" s="387"/>
      <c r="W9" s="387"/>
      <c r="X9" s="387"/>
      <c r="Y9" s="388" t="s">
        <v>80</v>
      </c>
      <c r="Z9" s="388"/>
      <c r="AA9" s="388"/>
      <c r="AB9" s="388"/>
      <c r="AC9" s="388"/>
      <c r="AD9" s="388"/>
      <c r="AE9" s="388"/>
      <c r="AF9" s="388"/>
      <c r="AG9" s="388"/>
      <c r="AH9" s="388"/>
      <c r="AI9" s="388"/>
      <c r="AJ9" s="388"/>
    </row>
    <row r="10" spans="2:36" x14ac:dyDescent="0.25">
      <c r="B10" s="386"/>
      <c r="C10" s="165"/>
      <c r="D10" s="165" t="s">
        <v>9</v>
      </c>
      <c r="E10" s="165" t="s">
        <v>10</v>
      </c>
      <c r="F10" s="165" t="s">
        <v>11</v>
      </c>
      <c r="G10" s="165" t="s">
        <v>12</v>
      </c>
      <c r="H10" s="165" t="s">
        <v>35</v>
      </c>
      <c r="I10" s="165" t="s">
        <v>36</v>
      </c>
      <c r="J10" s="165" t="s">
        <v>37</v>
      </c>
      <c r="K10" s="165" t="s">
        <v>38</v>
      </c>
      <c r="L10" s="165" t="s">
        <v>39</v>
      </c>
      <c r="M10" s="165" t="s">
        <v>40</v>
      </c>
      <c r="N10" s="165" t="s">
        <v>41</v>
      </c>
      <c r="O10" s="165" t="s">
        <v>42</v>
      </c>
      <c r="P10" s="165" t="s">
        <v>43</v>
      </c>
      <c r="Q10" s="165" t="s">
        <v>44</v>
      </c>
      <c r="R10" s="165" t="s">
        <v>45</v>
      </c>
      <c r="S10" s="165" t="s">
        <v>46</v>
      </c>
      <c r="T10" s="165"/>
      <c r="U10" s="165" t="s">
        <v>9</v>
      </c>
      <c r="V10" s="165" t="s">
        <v>10</v>
      </c>
      <c r="W10" s="165" t="s">
        <v>11</v>
      </c>
      <c r="X10" s="165" t="s">
        <v>12</v>
      </c>
      <c r="Y10" s="165" t="s">
        <v>35</v>
      </c>
      <c r="Z10" s="165" t="s">
        <v>36</v>
      </c>
      <c r="AA10" s="165" t="s">
        <v>37</v>
      </c>
      <c r="AB10" s="165" t="s">
        <v>38</v>
      </c>
      <c r="AC10" s="165" t="s">
        <v>39</v>
      </c>
      <c r="AD10" s="165" t="s">
        <v>40</v>
      </c>
      <c r="AE10" s="165" t="s">
        <v>41</v>
      </c>
      <c r="AF10" s="165" t="s">
        <v>42</v>
      </c>
      <c r="AG10" s="165" t="s">
        <v>43</v>
      </c>
      <c r="AH10" s="165" t="s">
        <v>44</v>
      </c>
      <c r="AI10" s="165" t="s">
        <v>45</v>
      </c>
      <c r="AJ10" s="165" t="s">
        <v>46</v>
      </c>
    </row>
    <row r="11" spans="2:36" x14ac:dyDescent="0.25">
      <c r="B11" s="88">
        <v>2023</v>
      </c>
      <c r="C11" s="138">
        <v>365</v>
      </c>
      <c r="D11" s="139">
        <v>90</v>
      </c>
      <c r="E11" s="139">
        <v>91</v>
      </c>
      <c r="F11" s="139">
        <v>92</v>
      </c>
      <c r="G11" s="139">
        <v>92</v>
      </c>
      <c r="H11" s="175">
        <v>31</v>
      </c>
      <c r="I11" s="175">
        <v>28</v>
      </c>
      <c r="J11" s="175">
        <v>31</v>
      </c>
      <c r="K11" s="175">
        <v>30</v>
      </c>
      <c r="L11" s="175">
        <v>31</v>
      </c>
      <c r="M11" s="175">
        <v>30</v>
      </c>
      <c r="N11" s="175">
        <v>31</v>
      </c>
      <c r="O11" s="175">
        <v>31</v>
      </c>
      <c r="P11" s="175">
        <v>30</v>
      </c>
      <c r="Q11" s="175">
        <v>31</v>
      </c>
      <c r="R11" s="175">
        <v>30</v>
      </c>
      <c r="S11" s="175">
        <v>31</v>
      </c>
      <c r="T11" s="138">
        <v>8760</v>
      </c>
      <c r="U11" s="138">
        <v>2160</v>
      </c>
      <c r="V11" s="138">
        <v>2184</v>
      </c>
      <c r="W11" s="138">
        <v>2208</v>
      </c>
      <c r="X11" s="138">
        <v>2208</v>
      </c>
      <c r="Y11" s="175">
        <v>744</v>
      </c>
      <c r="Z11" s="175">
        <v>672</v>
      </c>
      <c r="AA11" s="175">
        <v>744</v>
      </c>
      <c r="AB11" s="175">
        <v>720</v>
      </c>
      <c r="AC11" s="175">
        <v>744</v>
      </c>
      <c r="AD11" s="175">
        <v>720</v>
      </c>
      <c r="AE11" s="175">
        <v>744</v>
      </c>
      <c r="AF11" s="175">
        <v>744</v>
      </c>
      <c r="AG11" s="175">
        <v>720</v>
      </c>
      <c r="AH11" s="175">
        <v>744</v>
      </c>
      <c r="AI11" s="175">
        <v>720</v>
      </c>
      <c r="AJ11" s="175">
        <v>744</v>
      </c>
    </row>
    <row r="12" spans="2:36" x14ac:dyDescent="0.25">
      <c r="B12" s="88">
        <v>2024</v>
      </c>
      <c r="C12" s="138">
        <v>366</v>
      </c>
      <c r="D12" s="139">
        <v>91</v>
      </c>
      <c r="E12" s="139">
        <v>91</v>
      </c>
      <c r="F12" s="139">
        <v>92</v>
      </c>
      <c r="G12" s="139">
        <v>92</v>
      </c>
      <c r="H12" s="175">
        <v>31</v>
      </c>
      <c r="I12" s="175">
        <v>29</v>
      </c>
      <c r="J12" s="175">
        <v>31</v>
      </c>
      <c r="K12" s="175">
        <v>30</v>
      </c>
      <c r="L12" s="175">
        <v>31</v>
      </c>
      <c r="M12" s="175">
        <v>30</v>
      </c>
      <c r="N12" s="175">
        <v>31</v>
      </c>
      <c r="O12" s="175">
        <v>31</v>
      </c>
      <c r="P12" s="175">
        <v>30</v>
      </c>
      <c r="Q12" s="175">
        <v>31</v>
      </c>
      <c r="R12" s="175">
        <v>30</v>
      </c>
      <c r="S12" s="175">
        <v>31</v>
      </c>
      <c r="T12" s="138">
        <v>8784</v>
      </c>
      <c r="U12" s="138">
        <v>2184</v>
      </c>
      <c r="V12" s="138">
        <v>2184</v>
      </c>
      <c r="W12" s="138">
        <v>2208</v>
      </c>
      <c r="X12" s="138">
        <v>2208</v>
      </c>
      <c r="Y12" s="175">
        <v>744</v>
      </c>
      <c r="Z12" s="175">
        <v>696</v>
      </c>
      <c r="AA12" s="175">
        <v>744</v>
      </c>
      <c r="AB12" s="175">
        <v>720</v>
      </c>
      <c r="AC12" s="175">
        <v>744</v>
      </c>
      <c r="AD12" s="175">
        <v>720</v>
      </c>
      <c r="AE12" s="175">
        <v>744</v>
      </c>
      <c r="AF12" s="175">
        <v>744</v>
      </c>
      <c r="AG12" s="175">
        <v>720</v>
      </c>
      <c r="AH12" s="175">
        <v>744</v>
      </c>
      <c r="AI12" s="175">
        <v>720</v>
      </c>
      <c r="AJ12" s="175">
        <v>744</v>
      </c>
    </row>
    <row r="13" spans="2:36" x14ac:dyDescent="0.25">
      <c r="B13" s="88">
        <v>2025</v>
      </c>
      <c r="C13" s="138">
        <v>365</v>
      </c>
      <c r="D13" s="139">
        <v>90</v>
      </c>
      <c r="E13" s="139">
        <v>91</v>
      </c>
      <c r="F13" s="139">
        <v>92</v>
      </c>
      <c r="G13" s="139">
        <v>92</v>
      </c>
      <c r="H13" s="175">
        <v>31</v>
      </c>
      <c r="I13" s="175">
        <v>28</v>
      </c>
      <c r="J13" s="175">
        <v>31</v>
      </c>
      <c r="K13" s="175">
        <v>30</v>
      </c>
      <c r="L13" s="175">
        <v>31</v>
      </c>
      <c r="M13" s="175">
        <v>30</v>
      </c>
      <c r="N13" s="175">
        <v>31</v>
      </c>
      <c r="O13" s="175">
        <v>31</v>
      </c>
      <c r="P13" s="175">
        <v>30</v>
      </c>
      <c r="Q13" s="175">
        <v>31</v>
      </c>
      <c r="R13" s="175">
        <v>30</v>
      </c>
      <c r="S13" s="175">
        <v>31</v>
      </c>
      <c r="T13" s="138">
        <v>8760</v>
      </c>
      <c r="U13" s="138">
        <v>2160</v>
      </c>
      <c r="V13" s="138">
        <v>2184</v>
      </c>
      <c r="W13" s="138">
        <v>2208</v>
      </c>
      <c r="X13" s="138">
        <v>2208</v>
      </c>
      <c r="Y13" s="175">
        <v>744</v>
      </c>
      <c r="Z13" s="175">
        <v>672</v>
      </c>
      <c r="AA13" s="175">
        <v>744</v>
      </c>
      <c r="AB13" s="175">
        <v>720</v>
      </c>
      <c r="AC13" s="175">
        <v>744</v>
      </c>
      <c r="AD13" s="175">
        <v>720</v>
      </c>
      <c r="AE13" s="175">
        <v>744</v>
      </c>
      <c r="AF13" s="175">
        <v>744</v>
      </c>
      <c r="AG13" s="175">
        <v>720</v>
      </c>
      <c r="AH13" s="175">
        <v>744</v>
      </c>
      <c r="AI13" s="175">
        <v>720</v>
      </c>
      <c r="AJ13" s="175">
        <v>744</v>
      </c>
    </row>
    <row r="14" spans="2:36" x14ac:dyDescent="0.25">
      <c r="B14" s="88">
        <v>2026</v>
      </c>
      <c r="C14" s="138">
        <v>365</v>
      </c>
      <c r="D14" s="139">
        <v>90</v>
      </c>
      <c r="E14" s="139">
        <v>91</v>
      </c>
      <c r="F14" s="139">
        <v>92</v>
      </c>
      <c r="G14" s="139">
        <v>92</v>
      </c>
      <c r="H14" s="175">
        <v>31</v>
      </c>
      <c r="I14" s="175">
        <v>28</v>
      </c>
      <c r="J14" s="175">
        <v>31</v>
      </c>
      <c r="K14" s="175">
        <v>30</v>
      </c>
      <c r="L14" s="175">
        <v>31</v>
      </c>
      <c r="M14" s="175">
        <v>30</v>
      </c>
      <c r="N14" s="175">
        <v>31</v>
      </c>
      <c r="O14" s="175">
        <v>31</v>
      </c>
      <c r="P14" s="175">
        <v>30</v>
      </c>
      <c r="Q14" s="175">
        <v>31</v>
      </c>
      <c r="R14" s="175">
        <v>30</v>
      </c>
      <c r="S14" s="175">
        <v>31</v>
      </c>
      <c r="T14" s="138">
        <v>8760</v>
      </c>
      <c r="U14" s="138">
        <v>2160</v>
      </c>
      <c r="V14" s="138">
        <v>2184</v>
      </c>
      <c r="W14" s="138">
        <v>2208</v>
      </c>
      <c r="X14" s="138">
        <v>2208</v>
      </c>
      <c r="Y14" s="175">
        <v>744</v>
      </c>
      <c r="Z14" s="175">
        <v>672</v>
      </c>
      <c r="AA14" s="175">
        <v>744</v>
      </c>
      <c r="AB14" s="175">
        <v>720</v>
      </c>
      <c r="AC14" s="175">
        <v>744</v>
      </c>
      <c r="AD14" s="175">
        <v>720</v>
      </c>
      <c r="AE14" s="175">
        <v>744</v>
      </c>
      <c r="AF14" s="175">
        <v>744</v>
      </c>
      <c r="AG14" s="175">
        <v>720</v>
      </c>
      <c r="AH14" s="175">
        <v>744</v>
      </c>
      <c r="AI14" s="175">
        <v>720</v>
      </c>
      <c r="AJ14" s="175">
        <v>744</v>
      </c>
    </row>
    <row r="15" spans="2:36" x14ac:dyDescent="0.25">
      <c r="B15" s="88">
        <v>2027</v>
      </c>
      <c r="C15" s="138">
        <v>365</v>
      </c>
      <c r="D15" s="139">
        <v>90</v>
      </c>
      <c r="E15" s="139">
        <v>91</v>
      </c>
      <c r="F15" s="139">
        <v>92</v>
      </c>
      <c r="G15" s="139">
        <v>92</v>
      </c>
      <c r="H15" s="175">
        <v>31</v>
      </c>
      <c r="I15" s="175">
        <v>28</v>
      </c>
      <c r="J15" s="175">
        <v>31</v>
      </c>
      <c r="K15" s="175">
        <v>30</v>
      </c>
      <c r="L15" s="175">
        <v>31</v>
      </c>
      <c r="M15" s="175">
        <v>30</v>
      </c>
      <c r="N15" s="175">
        <v>31</v>
      </c>
      <c r="O15" s="175">
        <v>31</v>
      </c>
      <c r="P15" s="175">
        <v>30</v>
      </c>
      <c r="Q15" s="175">
        <v>31</v>
      </c>
      <c r="R15" s="175">
        <v>30</v>
      </c>
      <c r="S15" s="175">
        <v>31</v>
      </c>
      <c r="T15" s="138">
        <v>8760</v>
      </c>
      <c r="U15" s="138">
        <v>2160</v>
      </c>
      <c r="V15" s="138">
        <v>2184</v>
      </c>
      <c r="W15" s="138">
        <v>2208</v>
      </c>
      <c r="X15" s="138">
        <v>2208</v>
      </c>
      <c r="Y15" s="175">
        <v>744</v>
      </c>
      <c r="Z15" s="175">
        <v>672</v>
      </c>
      <c r="AA15" s="175">
        <v>744</v>
      </c>
      <c r="AB15" s="175">
        <v>720</v>
      </c>
      <c r="AC15" s="175">
        <v>744</v>
      </c>
      <c r="AD15" s="175">
        <v>720</v>
      </c>
      <c r="AE15" s="175">
        <v>744</v>
      </c>
      <c r="AF15" s="175">
        <v>744</v>
      </c>
      <c r="AG15" s="175">
        <v>720</v>
      </c>
      <c r="AH15" s="175">
        <v>744</v>
      </c>
      <c r="AI15" s="175">
        <v>720</v>
      </c>
      <c r="AJ15" s="175">
        <v>744</v>
      </c>
    </row>
    <row r="16" spans="2:36" x14ac:dyDescent="0.25">
      <c r="B16" s="88">
        <v>2028</v>
      </c>
      <c r="C16" s="138">
        <v>366</v>
      </c>
      <c r="D16" s="139">
        <v>91</v>
      </c>
      <c r="E16" s="139">
        <v>91</v>
      </c>
      <c r="F16" s="139">
        <v>92</v>
      </c>
      <c r="G16" s="139">
        <v>92</v>
      </c>
      <c r="H16" s="175">
        <v>31</v>
      </c>
      <c r="I16" s="175">
        <v>29</v>
      </c>
      <c r="J16" s="175">
        <v>31</v>
      </c>
      <c r="K16" s="175">
        <v>30</v>
      </c>
      <c r="L16" s="175">
        <v>31</v>
      </c>
      <c r="M16" s="175">
        <v>30</v>
      </c>
      <c r="N16" s="175">
        <v>31</v>
      </c>
      <c r="O16" s="175">
        <v>31</v>
      </c>
      <c r="P16" s="175">
        <v>30</v>
      </c>
      <c r="Q16" s="175">
        <v>31</v>
      </c>
      <c r="R16" s="175">
        <v>30</v>
      </c>
      <c r="S16" s="175">
        <v>31</v>
      </c>
      <c r="T16" s="138">
        <v>8784</v>
      </c>
      <c r="U16" s="138">
        <v>2184</v>
      </c>
      <c r="V16" s="138">
        <v>2184</v>
      </c>
      <c r="W16" s="138">
        <v>2208</v>
      </c>
      <c r="X16" s="138">
        <v>2208</v>
      </c>
      <c r="Y16" s="175">
        <v>744</v>
      </c>
      <c r="Z16" s="175">
        <v>696</v>
      </c>
      <c r="AA16" s="175">
        <v>744</v>
      </c>
      <c r="AB16" s="175">
        <v>720</v>
      </c>
      <c r="AC16" s="175">
        <v>744</v>
      </c>
      <c r="AD16" s="175">
        <v>720</v>
      </c>
      <c r="AE16" s="175">
        <v>744</v>
      </c>
      <c r="AF16" s="175">
        <v>744</v>
      </c>
      <c r="AG16" s="175">
        <v>720</v>
      </c>
      <c r="AH16" s="175">
        <v>744</v>
      </c>
      <c r="AI16" s="175">
        <v>720</v>
      </c>
      <c r="AJ16" s="175">
        <v>744</v>
      </c>
    </row>
    <row r="18" spans="2:36" x14ac:dyDescent="0.25">
      <c r="B18" s="166" t="s">
        <v>82</v>
      </c>
      <c r="C18" s="166"/>
      <c r="D18" s="166"/>
      <c r="E18" s="166"/>
      <c r="F18" s="166"/>
      <c r="G18" s="166"/>
      <c r="H18" s="166"/>
      <c r="I18" s="166"/>
      <c r="J18" s="166"/>
      <c r="K18" s="166"/>
      <c r="L18" s="166"/>
      <c r="M18" s="166"/>
      <c r="N18" s="166"/>
      <c r="O18" s="36"/>
      <c r="P18" s="36"/>
      <c r="Q18" s="36"/>
      <c r="R18" s="36"/>
      <c r="S18" s="36"/>
      <c r="T18" s="37"/>
      <c r="U18" s="37"/>
      <c r="V18" s="37"/>
      <c r="W18" s="37"/>
      <c r="X18" s="37"/>
      <c r="Y18" s="37"/>
      <c r="Z18" s="37"/>
      <c r="AA18" s="37"/>
      <c r="AB18" s="37"/>
      <c r="AC18" s="37"/>
      <c r="AD18" s="37"/>
      <c r="AE18" s="37"/>
    </row>
    <row r="19" spans="2:36" ht="39.75" customHeight="1" x14ac:dyDescent="0.25">
      <c r="B19" s="386" t="s">
        <v>13</v>
      </c>
      <c r="C19" s="391"/>
      <c r="D19" s="392" t="s">
        <v>83</v>
      </c>
      <c r="E19" s="392"/>
      <c r="F19" s="392"/>
      <c r="G19" s="392"/>
      <c r="H19" s="392" t="s">
        <v>84</v>
      </c>
      <c r="I19" s="392"/>
      <c r="J19" s="392"/>
      <c r="K19" s="392"/>
      <c r="L19" s="393" t="s">
        <v>85</v>
      </c>
      <c r="M19" s="393"/>
      <c r="N19" s="393"/>
      <c r="O19" s="62"/>
      <c r="P19" s="39"/>
      <c r="Q19" s="39"/>
      <c r="R19" s="39"/>
      <c r="S19" s="39"/>
      <c r="T19" s="40"/>
      <c r="U19" s="39"/>
      <c r="V19" s="39"/>
      <c r="W19" s="39"/>
      <c r="X19" s="39"/>
      <c r="Y19" s="39"/>
      <c r="Z19" s="39"/>
      <c r="AA19" s="39"/>
      <c r="AB19" s="39"/>
      <c r="AC19" s="39"/>
      <c r="AD19" s="39"/>
      <c r="AE19" s="39"/>
    </row>
    <row r="20" spans="2:36" ht="14.45" customHeight="1" x14ac:dyDescent="0.25">
      <c r="B20" s="386"/>
      <c r="C20" s="391"/>
      <c r="D20" s="165" t="s">
        <v>86</v>
      </c>
      <c r="E20" s="165" t="s">
        <v>14</v>
      </c>
      <c r="F20" s="165" t="s">
        <v>87</v>
      </c>
      <c r="G20" s="165" t="s">
        <v>88</v>
      </c>
      <c r="H20" s="165" t="s">
        <v>86</v>
      </c>
      <c r="I20" s="165" t="s">
        <v>14</v>
      </c>
      <c r="J20" s="165" t="s">
        <v>87</v>
      </c>
      <c r="K20" s="165" t="s">
        <v>88</v>
      </c>
      <c r="L20" s="165" t="s">
        <v>86</v>
      </c>
      <c r="M20" s="165" t="s">
        <v>14</v>
      </c>
      <c r="N20" s="165" t="s">
        <v>89</v>
      </c>
      <c r="O20" s="48"/>
      <c r="P20" s="41"/>
      <c r="Q20" s="41"/>
      <c r="R20" s="41"/>
      <c r="S20" s="41"/>
      <c r="T20" s="41"/>
      <c r="U20" s="41"/>
      <c r="V20" s="41"/>
      <c r="W20" s="41"/>
      <c r="X20" s="41"/>
      <c r="Y20" s="41"/>
      <c r="Z20" s="41"/>
      <c r="AA20" s="41"/>
      <c r="AB20" s="41"/>
      <c r="AC20" s="41"/>
      <c r="AD20" s="41"/>
      <c r="AE20" s="41"/>
    </row>
    <row r="21" spans="2:36" x14ac:dyDescent="0.25">
      <c r="B21" s="88">
        <v>2023</v>
      </c>
      <c r="C21" s="89"/>
      <c r="D21" s="141">
        <v>1.1000000000000001</v>
      </c>
      <c r="E21" s="141">
        <v>1.25</v>
      </c>
      <c r="F21" s="141">
        <v>1.5</v>
      </c>
      <c r="G21" s="141">
        <v>1.5</v>
      </c>
      <c r="H21" s="141">
        <v>1.1000000000000001</v>
      </c>
      <c r="I21" s="141">
        <v>1.25</v>
      </c>
      <c r="J21" s="141">
        <v>1.5</v>
      </c>
      <c r="K21" s="141">
        <v>1.5</v>
      </c>
      <c r="L21" s="141">
        <v>1.25</v>
      </c>
      <c r="M21" s="141">
        <v>1.5</v>
      </c>
      <c r="N21" s="141">
        <v>3</v>
      </c>
      <c r="O21" s="63"/>
      <c r="P21" s="38"/>
      <c r="Q21" s="38"/>
      <c r="R21" s="38"/>
      <c r="S21" s="38"/>
      <c r="T21" s="9"/>
      <c r="U21" s="9"/>
      <c r="V21" s="9"/>
      <c r="W21" s="9"/>
      <c r="X21" s="9"/>
      <c r="Y21" s="9"/>
      <c r="Z21" s="9"/>
      <c r="AA21" s="9"/>
      <c r="AB21" s="9"/>
      <c r="AC21" s="9"/>
      <c r="AD21" s="9"/>
      <c r="AE21" s="9"/>
    </row>
    <row r="22" spans="2:36" x14ac:dyDescent="0.25">
      <c r="B22" s="88">
        <v>2024</v>
      </c>
      <c r="C22" s="89"/>
      <c r="D22" s="141">
        <v>1.1000000000000001</v>
      </c>
      <c r="E22" s="141">
        <v>1.25</v>
      </c>
      <c r="F22" s="141">
        <v>1.5</v>
      </c>
      <c r="G22" s="141">
        <v>1.7</v>
      </c>
      <c r="H22" s="141">
        <v>1.1000000000000001</v>
      </c>
      <c r="I22" s="141">
        <v>1.25</v>
      </c>
      <c r="J22" s="141">
        <v>1.5</v>
      </c>
      <c r="K22" s="141">
        <v>1.7</v>
      </c>
      <c r="L22" s="141">
        <v>1.25</v>
      </c>
      <c r="M22" s="141">
        <v>1.5</v>
      </c>
      <c r="N22" s="141">
        <v>3</v>
      </c>
      <c r="O22" s="63"/>
      <c r="P22" s="38"/>
      <c r="Q22" s="38"/>
      <c r="R22" s="38"/>
      <c r="S22" s="38"/>
      <c r="T22" s="9"/>
      <c r="U22" s="9"/>
      <c r="V22" s="9"/>
      <c r="W22" s="9"/>
      <c r="X22" s="9"/>
      <c r="Y22" s="9"/>
      <c r="Z22" s="9"/>
      <c r="AA22" s="9"/>
      <c r="AB22" s="9"/>
      <c r="AC22" s="9"/>
      <c r="AD22" s="9"/>
      <c r="AE22" s="9"/>
    </row>
    <row r="23" spans="2:36" x14ac:dyDescent="0.25">
      <c r="B23" s="88">
        <v>2025</v>
      </c>
      <c r="C23" s="89"/>
      <c r="D23" s="141">
        <v>1.1000000000000001</v>
      </c>
      <c r="E23" s="141">
        <v>1.25</v>
      </c>
      <c r="F23" s="141">
        <v>1.5</v>
      </c>
      <c r="G23" s="141">
        <v>1.7</v>
      </c>
      <c r="H23" s="141">
        <v>1.1000000000000001</v>
      </c>
      <c r="I23" s="141">
        <v>1.25</v>
      </c>
      <c r="J23" s="141">
        <v>1.5</v>
      </c>
      <c r="K23" s="141">
        <v>1.7</v>
      </c>
      <c r="L23" s="141">
        <v>1.25</v>
      </c>
      <c r="M23" s="141">
        <v>1.5</v>
      </c>
      <c r="N23" s="141">
        <v>3</v>
      </c>
      <c r="O23" s="63"/>
      <c r="P23" s="38"/>
      <c r="Q23" s="38"/>
      <c r="R23" s="38"/>
      <c r="S23" s="38"/>
      <c r="T23" s="9"/>
      <c r="U23" s="9"/>
      <c r="V23" s="9"/>
      <c r="W23" s="9"/>
      <c r="X23" s="9"/>
      <c r="Y23" s="9"/>
      <c r="Z23" s="9"/>
      <c r="AA23" s="9"/>
      <c r="AB23" s="9"/>
      <c r="AC23" s="9"/>
      <c r="AD23" s="9"/>
      <c r="AE23" s="9"/>
    </row>
    <row r="24" spans="2:36" x14ac:dyDescent="0.25">
      <c r="B24" s="88">
        <v>2026</v>
      </c>
      <c r="C24" s="89"/>
      <c r="D24" s="184">
        <v>1.1000000000000001</v>
      </c>
      <c r="E24" s="184">
        <v>1.25</v>
      </c>
      <c r="F24" s="184">
        <v>1.5</v>
      </c>
      <c r="G24" s="184">
        <v>1.7</v>
      </c>
      <c r="H24" s="184">
        <v>1.1000000000000001</v>
      </c>
      <c r="I24" s="184">
        <v>1.25</v>
      </c>
      <c r="J24" s="184">
        <v>1.5</v>
      </c>
      <c r="K24" s="184">
        <v>1.7</v>
      </c>
      <c r="L24" s="184">
        <v>1.25</v>
      </c>
      <c r="M24" s="184">
        <v>1.5</v>
      </c>
      <c r="N24" s="184">
        <v>3</v>
      </c>
      <c r="O24" s="63"/>
      <c r="P24" s="38"/>
      <c r="Q24" s="38"/>
      <c r="R24" s="38"/>
      <c r="S24" s="38"/>
      <c r="T24" s="9"/>
      <c r="U24" s="9"/>
      <c r="V24" s="9"/>
      <c r="W24" s="9"/>
      <c r="X24" s="9"/>
      <c r="Y24" s="9"/>
      <c r="Z24" s="9"/>
      <c r="AA24" s="9"/>
      <c r="AB24" s="9"/>
      <c r="AC24" s="9"/>
      <c r="AD24" s="9"/>
      <c r="AE24" s="9"/>
    </row>
    <row r="25" spans="2:36" x14ac:dyDescent="0.25">
      <c r="B25" s="88">
        <v>2027</v>
      </c>
      <c r="C25" s="89"/>
      <c r="D25" s="184">
        <v>1.1000000000000001</v>
      </c>
      <c r="E25" s="184">
        <v>1.25</v>
      </c>
      <c r="F25" s="184">
        <v>1.5</v>
      </c>
      <c r="G25" s="184">
        <v>1.7</v>
      </c>
      <c r="H25" s="184">
        <v>1.1000000000000001</v>
      </c>
      <c r="I25" s="184">
        <v>1.25</v>
      </c>
      <c r="J25" s="184">
        <v>1.5</v>
      </c>
      <c r="K25" s="184">
        <v>1.7</v>
      </c>
      <c r="L25" s="184">
        <v>1.25</v>
      </c>
      <c r="M25" s="184">
        <v>1.5</v>
      </c>
      <c r="N25" s="184">
        <v>3</v>
      </c>
      <c r="O25" s="63"/>
      <c r="P25" s="38"/>
      <c r="Q25" s="38"/>
      <c r="R25" s="38"/>
      <c r="S25" s="38"/>
      <c r="T25" s="9"/>
      <c r="U25" s="9"/>
      <c r="V25" s="9"/>
      <c r="W25" s="9"/>
      <c r="X25" s="9"/>
      <c r="Y25" s="9"/>
      <c r="Z25" s="9"/>
      <c r="AA25" s="9"/>
      <c r="AB25" s="9"/>
      <c r="AC25" s="9"/>
      <c r="AD25" s="9"/>
      <c r="AE25" s="9"/>
    </row>
    <row r="26" spans="2:36" x14ac:dyDescent="0.25">
      <c r="B26" s="88">
        <v>2028</v>
      </c>
      <c r="C26" s="89"/>
      <c r="D26" s="184">
        <v>1.1000000000000001</v>
      </c>
      <c r="E26" s="184">
        <v>1.25</v>
      </c>
      <c r="F26" s="184">
        <v>1.5</v>
      </c>
      <c r="G26" s="184">
        <v>1.7</v>
      </c>
      <c r="H26" s="184">
        <v>1.1000000000000001</v>
      </c>
      <c r="I26" s="184">
        <v>1.25</v>
      </c>
      <c r="J26" s="184">
        <v>1.5</v>
      </c>
      <c r="K26" s="184">
        <v>1.7</v>
      </c>
      <c r="L26" s="184">
        <v>1.25</v>
      </c>
      <c r="M26" s="184">
        <v>1.5</v>
      </c>
      <c r="N26" s="184">
        <v>3</v>
      </c>
      <c r="O26" s="63"/>
      <c r="P26" s="38"/>
      <c r="Q26" s="38"/>
      <c r="R26" s="38"/>
      <c r="S26" s="38"/>
      <c r="T26" s="9"/>
      <c r="U26" s="9"/>
      <c r="V26" s="9"/>
      <c r="W26" s="9"/>
      <c r="X26" s="9"/>
      <c r="Y26" s="9"/>
      <c r="Z26" s="9"/>
      <c r="AA26" s="9"/>
      <c r="AB26" s="9"/>
      <c r="AC26" s="9"/>
      <c r="AD26" s="9"/>
      <c r="AE26" s="9"/>
    </row>
    <row r="27" spans="2:36" ht="15.75" customHeight="1" x14ac:dyDescent="0.25">
      <c r="AJ27" s="73"/>
    </row>
    <row r="28" spans="2:36" x14ac:dyDescent="0.25">
      <c r="B28" s="167" t="s">
        <v>90</v>
      </c>
      <c r="C28" s="166"/>
      <c r="D28" s="168"/>
      <c r="E28" s="169"/>
      <c r="F28" s="168"/>
      <c r="G28" s="169"/>
      <c r="H28" s="168"/>
      <c r="I28" s="168"/>
      <c r="J28" s="168"/>
      <c r="K28" s="169"/>
      <c r="L28" s="169"/>
      <c r="M28" s="168"/>
      <c r="N28" s="168"/>
      <c r="O28" s="168"/>
      <c r="P28" s="169"/>
      <c r="Q28" s="169"/>
      <c r="R28" s="169"/>
      <c r="S28" s="169"/>
      <c r="T28" s="169"/>
      <c r="U28" s="169"/>
      <c r="V28" s="169"/>
      <c r="W28" s="169"/>
      <c r="X28" s="169"/>
      <c r="Y28" s="169"/>
      <c r="Z28" s="169"/>
      <c r="AA28" s="169"/>
      <c r="AB28" s="169"/>
      <c r="AC28" s="169"/>
      <c r="AD28" s="169"/>
      <c r="AE28" s="169"/>
      <c r="AJ28" s="73"/>
    </row>
    <row r="29" spans="2:36" x14ac:dyDescent="0.25">
      <c r="B29" s="167" t="s">
        <v>91</v>
      </c>
      <c r="C29" s="166"/>
      <c r="D29" s="170"/>
      <c r="E29" s="170"/>
      <c r="F29" s="170"/>
      <c r="G29" s="170"/>
      <c r="H29" s="171"/>
      <c r="I29" s="170"/>
      <c r="J29" s="170"/>
      <c r="K29" s="170"/>
      <c r="L29" s="170"/>
      <c r="M29" s="170"/>
      <c r="N29" s="170"/>
      <c r="O29" s="170"/>
      <c r="P29" s="170"/>
      <c r="Q29" s="170"/>
      <c r="R29" s="170"/>
      <c r="S29" s="170"/>
      <c r="T29" s="172"/>
      <c r="U29" s="172"/>
      <c r="V29" s="172"/>
      <c r="W29" s="172"/>
      <c r="X29" s="172"/>
      <c r="Y29" s="172"/>
      <c r="Z29" s="172"/>
      <c r="AA29" s="172"/>
      <c r="AB29" s="172"/>
      <c r="AC29" s="172"/>
      <c r="AD29" s="172"/>
      <c r="AE29" s="172"/>
      <c r="AJ29" s="73"/>
    </row>
    <row r="30" spans="2:36" ht="14.45" customHeight="1" x14ac:dyDescent="0.25">
      <c r="B30" s="386" t="s">
        <v>77</v>
      </c>
      <c r="C30" s="391"/>
      <c r="D30" s="387" t="s">
        <v>92</v>
      </c>
      <c r="E30" s="387"/>
      <c r="F30" s="387"/>
      <c r="G30" s="387"/>
      <c r="H30" s="387" t="s">
        <v>93</v>
      </c>
      <c r="I30" s="387"/>
      <c r="J30" s="387"/>
      <c r="K30" s="387"/>
      <c r="L30" s="387"/>
      <c r="M30" s="387"/>
      <c r="N30" s="387"/>
      <c r="O30" s="387"/>
      <c r="P30" s="387"/>
      <c r="Q30" s="387"/>
      <c r="R30" s="387"/>
      <c r="S30" s="387"/>
      <c r="T30" s="387" t="s">
        <v>94</v>
      </c>
      <c r="U30" s="387"/>
      <c r="V30" s="387"/>
      <c r="W30" s="387"/>
      <c r="X30" s="387"/>
      <c r="Y30" s="387"/>
      <c r="Z30" s="387"/>
      <c r="AA30" s="387"/>
      <c r="AB30" s="387"/>
      <c r="AC30" s="387"/>
      <c r="AD30" s="387"/>
      <c r="AE30" s="387"/>
      <c r="AJ30" s="73"/>
    </row>
    <row r="31" spans="2:36" x14ac:dyDescent="0.25">
      <c r="B31" s="386"/>
      <c r="C31" s="391"/>
      <c r="D31" s="165" t="s">
        <v>9</v>
      </c>
      <c r="E31" s="165" t="s">
        <v>10</v>
      </c>
      <c r="F31" s="165" t="s">
        <v>11</v>
      </c>
      <c r="G31" s="165" t="s">
        <v>12</v>
      </c>
      <c r="H31" s="165" t="s">
        <v>35</v>
      </c>
      <c r="I31" s="165" t="s">
        <v>36</v>
      </c>
      <c r="J31" s="165" t="s">
        <v>37</v>
      </c>
      <c r="K31" s="165" t="s">
        <v>38</v>
      </c>
      <c r="L31" s="165" t="s">
        <v>39</v>
      </c>
      <c r="M31" s="165" t="s">
        <v>40</v>
      </c>
      <c r="N31" s="165" t="s">
        <v>41</v>
      </c>
      <c r="O31" s="165" t="s">
        <v>42</v>
      </c>
      <c r="P31" s="165" t="s">
        <v>43</v>
      </c>
      <c r="Q31" s="165" t="s">
        <v>44</v>
      </c>
      <c r="R31" s="165" t="s">
        <v>45</v>
      </c>
      <c r="S31" s="165" t="s">
        <v>46</v>
      </c>
      <c r="T31" s="165" t="s">
        <v>35</v>
      </c>
      <c r="U31" s="165" t="s">
        <v>36</v>
      </c>
      <c r="V31" s="165" t="s">
        <v>37</v>
      </c>
      <c r="W31" s="165" t="s">
        <v>38</v>
      </c>
      <c r="X31" s="165" t="s">
        <v>39</v>
      </c>
      <c r="Y31" s="165" t="s">
        <v>40</v>
      </c>
      <c r="Z31" s="165" t="s">
        <v>41</v>
      </c>
      <c r="AA31" s="165" t="s">
        <v>42</v>
      </c>
      <c r="AB31" s="165" t="s">
        <v>43</v>
      </c>
      <c r="AC31" s="165" t="s">
        <v>44</v>
      </c>
      <c r="AD31" s="165" t="s">
        <v>45</v>
      </c>
      <c r="AE31" s="165" t="s">
        <v>46</v>
      </c>
      <c r="AJ31" s="73"/>
    </row>
    <row r="32" spans="2:36" x14ac:dyDescent="0.25">
      <c r="B32" s="88">
        <v>2023</v>
      </c>
      <c r="C32" s="89"/>
      <c r="D32" s="141">
        <v>1.53</v>
      </c>
      <c r="E32" s="141">
        <v>0.64</v>
      </c>
      <c r="F32" s="141">
        <v>0.49</v>
      </c>
      <c r="G32" s="141">
        <v>1.34</v>
      </c>
      <c r="H32" s="141">
        <v>1.82</v>
      </c>
      <c r="I32" s="141">
        <v>1.37</v>
      </c>
      <c r="J32" s="141">
        <v>1.41</v>
      </c>
      <c r="K32" s="141">
        <v>0.81</v>
      </c>
      <c r="L32" s="141">
        <v>0.61</v>
      </c>
      <c r="M32" s="141">
        <v>0.49</v>
      </c>
      <c r="N32" s="141">
        <v>0.39</v>
      </c>
      <c r="O32" s="141">
        <v>0.46</v>
      </c>
      <c r="P32" s="141">
        <v>0.62</v>
      </c>
      <c r="Q32" s="141">
        <v>1.07</v>
      </c>
      <c r="R32" s="141">
        <v>1.35</v>
      </c>
      <c r="S32" s="141">
        <v>1.6</v>
      </c>
      <c r="T32" s="141">
        <v>1.82</v>
      </c>
      <c r="U32" s="141">
        <v>1.37</v>
      </c>
      <c r="V32" s="141">
        <v>1.41</v>
      </c>
      <c r="W32" s="141">
        <v>0.81</v>
      </c>
      <c r="X32" s="141">
        <v>0.61</v>
      </c>
      <c r="Y32" s="141">
        <v>0.49</v>
      </c>
      <c r="Z32" s="141">
        <v>0.39</v>
      </c>
      <c r="AA32" s="141">
        <v>0.46</v>
      </c>
      <c r="AB32" s="141">
        <v>0.62</v>
      </c>
      <c r="AC32" s="141">
        <v>1.07</v>
      </c>
      <c r="AD32" s="141">
        <v>1.35</v>
      </c>
      <c r="AE32" s="141">
        <v>1.6</v>
      </c>
      <c r="AJ32" s="73"/>
    </row>
    <row r="33" spans="2:57" x14ac:dyDescent="0.25">
      <c r="B33" s="88">
        <v>2024</v>
      </c>
      <c r="C33" s="89"/>
      <c r="D33" s="141">
        <v>1.5</v>
      </c>
      <c r="E33" s="141">
        <v>0.7</v>
      </c>
      <c r="F33" s="141">
        <v>0.49</v>
      </c>
      <c r="G33" s="141">
        <v>1.31</v>
      </c>
      <c r="H33" s="141">
        <v>1.73</v>
      </c>
      <c r="I33" s="141">
        <v>1.36</v>
      </c>
      <c r="J33" s="141">
        <v>1.39</v>
      </c>
      <c r="K33" s="141">
        <v>0.89</v>
      </c>
      <c r="L33" s="141">
        <v>0.7</v>
      </c>
      <c r="M33" s="141">
        <v>0.53</v>
      </c>
      <c r="N33" s="141">
        <v>0.43</v>
      </c>
      <c r="O33" s="141">
        <v>0.48</v>
      </c>
      <c r="P33" s="141">
        <v>0.56000000000000005</v>
      </c>
      <c r="Q33" s="141">
        <v>0.98</v>
      </c>
      <c r="R33" s="141">
        <v>1.28</v>
      </c>
      <c r="S33" s="141">
        <v>1.66</v>
      </c>
      <c r="T33" s="141">
        <v>1.73</v>
      </c>
      <c r="U33" s="141">
        <v>1.36</v>
      </c>
      <c r="V33" s="141">
        <v>1.39</v>
      </c>
      <c r="W33" s="141">
        <v>0.89</v>
      </c>
      <c r="X33" s="141">
        <v>0.7</v>
      </c>
      <c r="Y33" s="141">
        <v>0.53</v>
      </c>
      <c r="Z33" s="141">
        <v>0.43</v>
      </c>
      <c r="AA33" s="141">
        <v>0.48</v>
      </c>
      <c r="AB33" s="141">
        <v>0.56000000000000005</v>
      </c>
      <c r="AC33" s="141">
        <v>0.98</v>
      </c>
      <c r="AD33" s="141">
        <v>1.28</v>
      </c>
      <c r="AE33" s="141">
        <v>1.66</v>
      </c>
      <c r="AJ33" s="73"/>
      <c r="AN33" s="199"/>
    </row>
    <row r="34" spans="2:57" x14ac:dyDescent="0.25">
      <c r="B34" s="88">
        <v>2025</v>
      </c>
      <c r="C34" s="89"/>
      <c r="D34" s="141">
        <v>1.5</v>
      </c>
      <c r="E34" s="141">
        <v>0.7</v>
      </c>
      <c r="F34" s="141">
        <v>0.49</v>
      </c>
      <c r="G34" s="141">
        <v>1.31</v>
      </c>
      <c r="H34" s="141">
        <v>1.73</v>
      </c>
      <c r="I34" s="141">
        <v>1.36</v>
      </c>
      <c r="J34" s="141">
        <v>1.39</v>
      </c>
      <c r="K34" s="141">
        <v>0.89</v>
      </c>
      <c r="L34" s="141">
        <v>0.7</v>
      </c>
      <c r="M34" s="141">
        <v>0.53</v>
      </c>
      <c r="N34" s="141">
        <v>0.43</v>
      </c>
      <c r="O34" s="141">
        <v>0.48</v>
      </c>
      <c r="P34" s="141">
        <v>0.56000000000000005</v>
      </c>
      <c r="Q34" s="141">
        <v>0.98</v>
      </c>
      <c r="R34" s="141">
        <v>1.28</v>
      </c>
      <c r="S34" s="141">
        <v>1.66</v>
      </c>
      <c r="T34" s="141">
        <v>1.73</v>
      </c>
      <c r="U34" s="141">
        <v>1.36</v>
      </c>
      <c r="V34" s="141">
        <v>1.39</v>
      </c>
      <c r="W34" s="141">
        <v>0.89</v>
      </c>
      <c r="X34" s="141">
        <v>0.7</v>
      </c>
      <c r="Y34" s="141">
        <v>0.53</v>
      </c>
      <c r="Z34" s="141">
        <v>0.43</v>
      </c>
      <c r="AA34" s="141">
        <v>0.48</v>
      </c>
      <c r="AB34" s="141">
        <v>0.56000000000000005</v>
      </c>
      <c r="AC34" s="141">
        <v>0.98</v>
      </c>
      <c r="AD34" s="141">
        <v>1.28</v>
      </c>
      <c r="AE34" s="141">
        <v>1.66</v>
      </c>
      <c r="AJ34" s="73"/>
      <c r="AN34" s="199"/>
    </row>
    <row r="35" spans="2:57" x14ac:dyDescent="0.25">
      <c r="B35" s="88">
        <v>2026</v>
      </c>
      <c r="C35" s="89"/>
      <c r="D35" s="186">
        <f>+'SK skaičiavimas_Vieningi'!C56</f>
        <v>1.48</v>
      </c>
      <c r="E35" s="186">
        <f>+'SK skaičiavimas_Vieningi'!D56</f>
        <v>0.71</v>
      </c>
      <c r="F35" s="186">
        <f>+'SK skaičiavimas_Vieningi'!E56</f>
        <v>0.48</v>
      </c>
      <c r="G35" s="186">
        <f>+'SK skaičiavimas_Vieningi'!F56</f>
        <v>1.33</v>
      </c>
      <c r="H35" s="186">
        <f>+'SK skaičiavimas_Vieningi'!C53</f>
        <v>1.68</v>
      </c>
      <c r="I35" s="186">
        <f>+'SK skaičiavimas_Vieningi'!D53</f>
        <v>1.31</v>
      </c>
      <c r="J35" s="186">
        <f>+'SK skaičiavimas_Vieningi'!E53</f>
        <v>1.46</v>
      </c>
      <c r="K35" s="186">
        <f>+'SK skaičiavimas_Vieningi'!F53</f>
        <v>0.93</v>
      </c>
      <c r="L35" s="186">
        <f>+'SK skaičiavimas_Vieningi'!G53</f>
        <v>0.66</v>
      </c>
      <c r="M35" s="186">
        <f>+'SK skaičiavimas_Vieningi'!H53</f>
        <v>0.56000000000000005</v>
      </c>
      <c r="N35" s="186">
        <f>+'SK skaičiavimas_Vieningi'!I53</f>
        <v>0.46</v>
      </c>
      <c r="O35" s="186">
        <f>+'SK skaičiavimas_Vieningi'!J53</f>
        <v>0.5</v>
      </c>
      <c r="P35" s="186">
        <f>+'SK skaičiavimas_Vieningi'!K53</f>
        <v>0.47</v>
      </c>
      <c r="Q35" s="186">
        <f>+'SK skaičiavimas_Vieningi'!L53</f>
        <v>0.94</v>
      </c>
      <c r="R35" s="186">
        <f>+'SK skaičiavimas_Vieningi'!M53</f>
        <v>1.3</v>
      </c>
      <c r="S35" s="186">
        <f>+'SK skaičiavimas_Vieningi'!N53</f>
        <v>1.74</v>
      </c>
      <c r="T35" s="186">
        <f>+'SK skaičiavimas_Vieningi'!C54</f>
        <v>1.68</v>
      </c>
      <c r="U35" s="186">
        <f>+'SK skaičiavimas_Vieningi'!D54</f>
        <v>1.31</v>
      </c>
      <c r="V35" s="186">
        <f>+'SK skaičiavimas_Vieningi'!E54</f>
        <v>1.46</v>
      </c>
      <c r="W35" s="186">
        <f>+'SK skaičiavimas_Vieningi'!F54</f>
        <v>0.93</v>
      </c>
      <c r="X35" s="186">
        <f>+'SK skaičiavimas_Vieningi'!G54</f>
        <v>0.66</v>
      </c>
      <c r="Y35" s="186">
        <f>+'SK skaičiavimas_Vieningi'!H54</f>
        <v>0.56000000000000005</v>
      </c>
      <c r="Z35" s="186">
        <f>+'SK skaičiavimas_Vieningi'!I54</f>
        <v>0.46</v>
      </c>
      <c r="AA35" s="186">
        <f>+'SK skaičiavimas_Vieningi'!J54</f>
        <v>0.5</v>
      </c>
      <c r="AB35" s="186">
        <f>+'SK skaičiavimas_Vieningi'!K54</f>
        <v>0.47</v>
      </c>
      <c r="AC35" s="186">
        <f>+'SK skaičiavimas_Vieningi'!L54</f>
        <v>0.94</v>
      </c>
      <c r="AD35" s="186">
        <f>+'SK skaičiavimas_Vieningi'!M54</f>
        <v>1.3</v>
      </c>
      <c r="AE35" s="186">
        <f>+'SK skaičiavimas_Vieningi'!N54</f>
        <v>1.74</v>
      </c>
      <c r="AJ35" s="73"/>
      <c r="AN35" s="199"/>
    </row>
    <row r="36" spans="2:57" x14ac:dyDescent="0.25">
      <c r="B36" s="88">
        <v>2027</v>
      </c>
      <c r="C36" s="89"/>
      <c r="D36" s="186">
        <v>1.48</v>
      </c>
      <c r="E36" s="186">
        <v>0.71</v>
      </c>
      <c r="F36" s="186">
        <v>0.48</v>
      </c>
      <c r="G36" s="186">
        <v>1.33</v>
      </c>
      <c r="H36" s="186">
        <v>1.68</v>
      </c>
      <c r="I36" s="186">
        <v>1.31</v>
      </c>
      <c r="J36" s="186">
        <v>1.46</v>
      </c>
      <c r="K36" s="186">
        <v>0.93</v>
      </c>
      <c r="L36" s="186">
        <v>0.66</v>
      </c>
      <c r="M36" s="186">
        <v>0.56000000000000005</v>
      </c>
      <c r="N36" s="186">
        <v>0.46</v>
      </c>
      <c r="O36" s="186">
        <v>0.5</v>
      </c>
      <c r="P36" s="186">
        <v>0.47</v>
      </c>
      <c r="Q36" s="186">
        <v>0.94</v>
      </c>
      <c r="R36" s="186">
        <v>1.3</v>
      </c>
      <c r="S36" s="186">
        <v>1.74</v>
      </c>
      <c r="T36" s="186">
        <v>1.68</v>
      </c>
      <c r="U36" s="186">
        <v>1.31</v>
      </c>
      <c r="V36" s="186">
        <v>1.46</v>
      </c>
      <c r="W36" s="186">
        <v>0.93</v>
      </c>
      <c r="X36" s="186">
        <v>0.66</v>
      </c>
      <c r="Y36" s="186">
        <v>0.56000000000000005</v>
      </c>
      <c r="Z36" s="186">
        <v>0.46</v>
      </c>
      <c r="AA36" s="186">
        <v>0.5</v>
      </c>
      <c r="AB36" s="186">
        <v>0.47</v>
      </c>
      <c r="AC36" s="186">
        <v>0.94</v>
      </c>
      <c r="AD36" s="186">
        <v>1.3</v>
      </c>
      <c r="AE36" s="186">
        <v>1.74</v>
      </c>
      <c r="AJ36" s="73"/>
      <c r="AN36" s="199"/>
    </row>
    <row r="37" spans="2:57" x14ac:dyDescent="0.25">
      <c r="B37" s="88">
        <v>2028</v>
      </c>
      <c r="C37" s="89"/>
      <c r="D37" s="186">
        <v>1.48</v>
      </c>
      <c r="E37" s="186">
        <v>0.71</v>
      </c>
      <c r="F37" s="186">
        <v>0.48</v>
      </c>
      <c r="G37" s="186">
        <v>1.33</v>
      </c>
      <c r="H37" s="186">
        <v>1.68</v>
      </c>
      <c r="I37" s="186">
        <v>1.31</v>
      </c>
      <c r="J37" s="186">
        <v>1.46</v>
      </c>
      <c r="K37" s="186">
        <v>0.93</v>
      </c>
      <c r="L37" s="186">
        <v>0.66</v>
      </c>
      <c r="M37" s="186">
        <v>0.56000000000000005</v>
      </c>
      <c r="N37" s="186">
        <v>0.46</v>
      </c>
      <c r="O37" s="186">
        <v>0.5</v>
      </c>
      <c r="P37" s="186">
        <v>0.47</v>
      </c>
      <c r="Q37" s="186">
        <v>0.94</v>
      </c>
      <c r="R37" s="186">
        <v>1.3</v>
      </c>
      <c r="S37" s="186">
        <v>1.74</v>
      </c>
      <c r="T37" s="186">
        <v>1.68</v>
      </c>
      <c r="U37" s="186">
        <v>1.31</v>
      </c>
      <c r="V37" s="186">
        <v>1.46</v>
      </c>
      <c r="W37" s="186">
        <v>0.93</v>
      </c>
      <c r="X37" s="186">
        <v>0.66</v>
      </c>
      <c r="Y37" s="186">
        <v>0.56000000000000005</v>
      </c>
      <c r="Z37" s="186">
        <v>0.46</v>
      </c>
      <c r="AA37" s="186">
        <v>0.5</v>
      </c>
      <c r="AB37" s="186">
        <v>0.47</v>
      </c>
      <c r="AC37" s="186">
        <v>0.94</v>
      </c>
      <c r="AD37" s="186">
        <v>1.3</v>
      </c>
      <c r="AE37" s="186">
        <v>1.74</v>
      </c>
      <c r="AJ37" s="73"/>
      <c r="AN37" s="199"/>
    </row>
    <row r="38" spans="2:57" x14ac:dyDescent="0.25">
      <c r="AJ38" s="73"/>
    </row>
    <row r="39" spans="2:57" x14ac:dyDescent="0.25">
      <c r="B39" s="167" t="s">
        <v>95</v>
      </c>
      <c r="C39" s="166"/>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J39" s="73"/>
    </row>
    <row r="40" spans="2:57" ht="14.45" customHeight="1" x14ac:dyDescent="0.25">
      <c r="B40" s="386" t="s">
        <v>77</v>
      </c>
      <c r="C40" s="391"/>
      <c r="D40" s="387" t="s">
        <v>92</v>
      </c>
      <c r="E40" s="387"/>
      <c r="F40" s="387"/>
      <c r="G40" s="387"/>
      <c r="H40" s="387" t="s">
        <v>93</v>
      </c>
      <c r="I40" s="387"/>
      <c r="J40" s="387"/>
      <c r="K40" s="387"/>
      <c r="L40" s="387"/>
      <c r="M40" s="387"/>
      <c r="N40" s="387"/>
      <c r="O40" s="387"/>
      <c r="P40" s="387"/>
      <c r="Q40" s="387"/>
      <c r="R40" s="387"/>
      <c r="S40" s="387"/>
      <c r="T40" s="387" t="s">
        <v>94</v>
      </c>
      <c r="U40" s="387"/>
      <c r="V40" s="387"/>
      <c r="W40" s="387"/>
      <c r="X40" s="387"/>
      <c r="Y40" s="387"/>
      <c r="Z40" s="387"/>
      <c r="AA40" s="387"/>
      <c r="AB40" s="387"/>
      <c r="AC40" s="387"/>
      <c r="AD40" s="387"/>
      <c r="AE40" s="387"/>
      <c r="AJ40" s="73"/>
    </row>
    <row r="41" spans="2:57" x14ac:dyDescent="0.25">
      <c r="B41" s="386"/>
      <c r="C41" s="391"/>
      <c r="D41" s="165" t="s">
        <v>9</v>
      </c>
      <c r="E41" s="165" t="s">
        <v>10</v>
      </c>
      <c r="F41" s="165" t="s">
        <v>11</v>
      </c>
      <c r="G41" s="165" t="s">
        <v>12</v>
      </c>
      <c r="H41" s="165" t="s">
        <v>35</v>
      </c>
      <c r="I41" s="165" t="s">
        <v>36</v>
      </c>
      <c r="J41" s="165" t="s">
        <v>37</v>
      </c>
      <c r="K41" s="165" t="s">
        <v>38</v>
      </c>
      <c r="L41" s="165" t="s">
        <v>39</v>
      </c>
      <c r="M41" s="165" t="s">
        <v>40</v>
      </c>
      <c r="N41" s="165" t="s">
        <v>41</v>
      </c>
      <c r="O41" s="165" t="s">
        <v>42</v>
      </c>
      <c r="P41" s="165" t="s">
        <v>43</v>
      </c>
      <c r="Q41" s="165" t="s">
        <v>44</v>
      </c>
      <c r="R41" s="165" t="s">
        <v>45</v>
      </c>
      <c r="S41" s="165" t="s">
        <v>46</v>
      </c>
      <c r="T41" s="165" t="s">
        <v>35</v>
      </c>
      <c r="U41" s="165" t="s">
        <v>36</v>
      </c>
      <c r="V41" s="165" t="s">
        <v>37</v>
      </c>
      <c r="W41" s="165" t="s">
        <v>38</v>
      </c>
      <c r="X41" s="165" t="s">
        <v>39</v>
      </c>
      <c r="Y41" s="165" t="s">
        <v>40</v>
      </c>
      <c r="Z41" s="165" t="s">
        <v>41</v>
      </c>
      <c r="AA41" s="165" t="s">
        <v>42</v>
      </c>
      <c r="AB41" s="165" t="s">
        <v>43</v>
      </c>
      <c r="AC41" s="165" t="s">
        <v>44</v>
      </c>
      <c r="AD41" s="165" t="s">
        <v>45</v>
      </c>
      <c r="AE41" s="165" t="s">
        <v>46</v>
      </c>
    </row>
    <row r="42" spans="2:57" x14ac:dyDescent="0.25">
      <c r="B42" s="88">
        <v>2023</v>
      </c>
      <c r="C42" s="89"/>
      <c r="D42" s="141">
        <v>1.53</v>
      </c>
      <c r="E42" s="141">
        <v>0.64</v>
      </c>
      <c r="F42" s="141">
        <v>0.49</v>
      </c>
      <c r="G42" s="141">
        <v>1.34</v>
      </c>
      <c r="H42" s="141">
        <v>1.82</v>
      </c>
      <c r="I42" s="141">
        <v>1.37</v>
      </c>
      <c r="J42" s="141">
        <v>1.41</v>
      </c>
      <c r="K42" s="141">
        <v>0.81</v>
      </c>
      <c r="L42" s="141">
        <v>0.61</v>
      </c>
      <c r="M42" s="141">
        <v>0.49</v>
      </c>
      <c r="N42" s="141">
        <v>0.39</v>
      </c>
      <c r="O42" s="141">
        <v>0.46</v>
      </c>
      <c r="P42" s="141">
        <v>0.62</v>
      </c>
      <c r="Q42" s="141">
        <v>1.07</v>
      </c>
      <c r="R42" s="141">
        <v>1.35</v>
      </c>
      <c r="S42" s="141">
        <v>1.6</v>
      </c>
      <c r="T42" s="141">
        <v>1.82</v>
      </c>
      <c r="U42" s="141">
        <v>1.37</v>
      </c>
      <c r="V42" s="141">
        <v>1.41</v>
      </c>
      <c r="W42" s="141">
        <v>0.81</v>
      </c>
      <c r="X42" s="141">
        <v>0.61</v>
      </c>
      <c r="Y42" s="141">
        <v>0.49</v>
      </c>
      <c r="Z42" s="141">
        <v>0.39</v>
      </c>
      <c r="AA42" s="141">
        <v>0.46</v>
      </c>
      <c r="AB42" s="141">
        <v>0.62</v>
      </c>
      <c r="AC42" s="141">
        <v>1.07</v>
      </c>
      <c r="AD42" s="141">
        <v>1.35</v>
      </c>
      <c r="AE42" s="141">
        <v>1.6</v>
      </c>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row>
    <row r="43" spans="2:57" x14ac:dyDescent="0.25">
      <c r="B43" s="88">
        <v>2024</v>
      </c>
      <c r="C43" s="89"/>
      <c r="D43" s="141">
        <v>1.5</v>
      </c>
      <c r="E43" s="141">
        <v>0.7</v>
      </c>
      <c r="F43" s="141">
        <v>0.49</v>
      </c>
      <c r="G43" s="141">
        <v>1.31</v>
      </c>
      <c r="H43" s="141">
        <v>1.73</v>
      </c>
      <c r="I43" s="141">
        <v>1.36</v>
      </c>
      <c r="J43" s="141">
        <v>1.39</v>
      </c>
      <c r="K43" s="141">
        <v>0.89</v>
      </c>
      <c r="L43" s="141">
        <v>0.7</v>
      </c>
      <c r="M43" s="141">
        <v>0.53</v>
      </c>
      <c r="N43" s="141">
        <v>0.43</v>
      </c>
      <c r="O43" s="141">
        <v>0.48</v>
      </c>
      <c r="P43" s="141">
        <v>0.56000000000000005</v>
      </c>
      <c r="Q43" s="141">
        <v>0.98</v>
      </c>
      <c r="R43" s="141">
        <v>1.28</v>
      </c>
      <c r="S43" s="141">
        <v>1.66</v>
      </c>
      <c r="T43" s="141">
        <v>1.73</v>
      </c>
      <c r="U43" s="141">
        <v>1.36</v>
      </c>
      <c r="V43" s="141">
        <v>1.39</v>
      </c>
      <c r="W43" s="141">
        <v>0.89</v>
      </c>
      <c r="X43" s="141">
        <v>0.7</v>
      </c>
      <c r="Y43" s="141">
        <v>0.53</v>
      </c>
      <c r="Z43" s="141">
        <v>0.43</v>
      </c>
      <c r="AA43" s="141">
        <v>0.48</v>
      </c>
      <c r="AB43" s="141">
        <v>0.56000000000000005</v>
      </c>
      <c r="AC43" s="141">
        <v>0.98</v>
      </c>
      <c r="AD43" s="141">
        <v>1.28</v>
      </c>
      <c r="AE43" s="141">
        <v>1.66</v>
      </c>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row>
    <row r="44" spans="2:57" x14ac:dyDescent="0.25">
      <c r="B44" s="88">
        <v>2025</v>
      </c>
      <c r="C44" s="89"/>
      <c r="D44" s="141">
        <v>1.5</v>
      </c>
      <c r="E44" s="141">
        <v>0.7</v>
      </c>
      <c r="F44" s="141">
        <v>0.49</v>
      </c>
      <c r="G44" s="141">
        <v>1.31</v>
      </c>
      <c r="H44" s="141">
        <v>1.73</v>
      </c>
      <c r="I44" s="141">
        <v>1.36</v>
      </c>
      <c r="J44" s="141">
        <v>1.39</v>
      </c>
      <c r="K44" s="141">
        <v>0.89</v>
      </c>
      <c r="L44" s="141">
        <v>0.7</v>
      </c>
      <c r="M44" s="141">
        <v>0.53</v>
      </c>
      <c r="N44" s="141">
        <v>0.43</v>
      </c>
      <c r="O44" s="141">
        <v>0.48</v>
      </c>
      <c r="P44" s="141">
        <v>0.56000000000000005</v>
      </c>
      <c r="Q44" s="141">
        <v>0.98</v>
      </c>
      <c r="R44" s="141">
        <v>1.28</v>
      </c>
      <c r="S44" s="141">
        <v>1.66</v>
      </c>
      <c r="T44" s="141">
        <v>1.73</v>
      </c>
      <c r="U44" s="141">
        <v>1.36</v>
      </c>
      <c r="V44" s="141">
        <v>1.39</v>
      </c>
      <c r="W44" s="141">
        <v>0.89</v>
      </c>
      <c r="X44" s="141">
        <v>0.7</v>
      </c>
      <c r="Y44" s="141">
        <v>0.53</v>
      </c>
      <c r="Z44" s="141">
        <v>0.43</v>
      </c>
      <c r="AA44" s="141">
        <v>0.48</v>
      </c>
      <c r="AB44" s="141">
        <v>0.56000000000000005</v>
      </c>
      <c r="AC44" s="141">
        <v>0.98</v>
      </c>
      <c r="AD44" s="141">
        <v>1.28</v>
      </c>
      <c r="AE44" s="141">
        <v>1.66</v>
      </c>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row>
    <row r="45" spans="2:57" x14ac:dyDescent="0.25">
      <c r="B45" s="88">
        <v>2026</v>
      </c>
      <c r="C45" s="89"/>
      <c r="D45" s="186">
        <f>+'SK skaičiavimas_Vieningi'!C56</f>
        <v>1.48</v>
      </c>
      <c r="E45" s="186">
        <f>+'SK skaičiavimas_Vieningi'!D56</f>
        <v>0.71</v>
      </c>
      <c r="F45" s="186">
        <f>+'SK skaičiavimas_Vieningi'!E56</f>
        <v>0.48</v>
      </c>
      <c r="G45" s="186">
        <f>+'SK skaičiavimas_Vieningi'!F56</f>
        <v>1.33</v>
      </c>
      <c r="H45" s="186">
        <f>+'SK skaičiavimas_Vieningi'!C53</f>
        <v>1.68</v>
      </c>
      <c r="I45" s="186">
        <f>+'SK skaičiavimas_Vieningi'!D53</f>
        <v>1.31</v>
      </c>
      <c r="J45" s="186">
        <f>+'SK skaičiavimas_Vieningi'!E53</f>
        <v>1.46</v>
      </c>
      <c r="K45" s="186">
        <f>+'SK skaičiavimas_Vieningi'!F53</f>
        <v>0.93</v>
      </c>
      <c r="L45" s="186">
        <f>+'SK skaičiavimas_Vieningi'!G53</f>
        <v>0.66</v>
      </c>
      <c r="M45" s="186">
        <f>+'SK skaičiavimas_Vieningi'!H53</f>
        <v>0.56000000000000005</v>
      </c>
      <c r="N45" s="186">
        <f>+'SK skaičiavimas_Vieningi'!I53</f>
        <v>0.46</v>
      </c>
      <c r="O45" s="186">
        <f>+'SK skaičiavimas_Vieningi'!J53</f>
        <v>0.5</v>
      </c>
      <c r="P45" s="186">
        <f>+'SK skaičiavimas_Vieningi'!K53</f>
        <v>0.47</v>
      </c>
      <c r="Q45" s="186">
        <f>+'SK skaičiavimas_Vieningi'!L53</f>
        <v>0.94</v>
      </c>
      <c r="R45" s="186">
        <f>+'SK skaičiavimas_Vieningi'!M53</f>
        <v>1.3</v>
      </c>
      <c r="S45" s="186">
        <f>+'SK skaičiavimas_Vieningi'!N53</f>
        <v>1.74</v>
      </c>
      <c r="T45" s="186">
        <f>+'SK skaičiavimas_Vieningi'!C54</f>
        <v>1.68</v>
      </c>
      <c r="U45" s="186">
        <f>+'SK skaičiavimas_Vieningi'!D54</f>
        <v>1.31</v>
      </c>
      <c r="V45" s="186">
        <f>+'SK skaičiavimas_Vieningi'!E54</f>
        <v>1.46</v>
      </c>
      <c r="W45" s="186">
        <f>+'SK skaičiavimas_Vieningi'!F54</f>
        <v>0.93</v>
      </c>
      <c r="X45" s="186">
        <f>+'SK skaičiavimas_Vieningi'!G54</f>
        <v>0.66</v>
      </c>
      <c r="Y45" s="186">
        <f>+'SK skaičiavimas_Vieningi'!H54</f>
        <v>0.56000000000000005</v>
      </c>
      <c r="Z45" s="186">
        <f>+'SK skaičiavimas_Vieningi'!I54</f>
        <v>0.46</v>
      </c>
      <c r="AA45" s="186">
        <f>+'SK skaičiavimas_Vieningi'!J54</f>
        <v>0.5</v>
      </c>
      <c r="AB45" s="186">
        <f>+'SK skaičiavimas_Vieningi'!K54</f>
        <v>0.47</v>
      </c>
      <c r="AC45" s="186">
        <f>+'SK skaičiavimas_Vieningi'!L54</f>
        <v>0.94</v>
      </c>
      <c r="AD45" s="186">
        <f>+'SK skaičiavimas_Vieningi'!M54</f>
        <v>1.3</v>
      </c>
      <c r="AE45" s="186">
        <f>+'SK skaičiavimas_Vieningi'!N54</f>
        <v>1.74</v>
      </c>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row>
    <row r="46" spans="2:57" x14ac:dyDescent="0.25">
      <c r="B46" s="88">
        <v>2027</v>
      </c>
      <c r="C46" s="89"/>
      <c r="D46" s="186">
        <v>1.48</v>
      </c>
      <c r="E46" s="186">
        <v>0.71</v>
      </c>
      <c r="F46" s="186">
        <v>0.48</v>
      </c>
      <c r="G46" s="186">
        <v>1.33</v>
      </c>
      <c r="H46" s="186">
        <v>1.68</v>
      </c>
      <c r="I46" s="186">
        <v>1.31</v>
      </c>
      <c r="J46" s="186">
        <v>1.46</v>
      </c>
      <c r="K46" s="186">
        <v>0.93</v>
      </c>
      <c r="L46" s="186">
        <v>0.66</v>
      </c>
      <c r="M46" s="186">
        <v>0.56000000000000005</v>
      </c>
      <c r="N46" s="186">
        <v>0.46</v>
      </c>
      <c r="O46" s="186">
        <v>0.5</v>
      </c>
      <c r="P46" s="186">
        <v>0.47</v>
      </c>
      <c r="Q46" s="186">
        <v>0.94</v>
      </c>
      <c r="R46" s="186">
        <v>1.3</v>
      </c>
      <c r="S46" s="186">
        <v>1.74</v>
      </c>
      <c r="T46" s="186">
        <v>1.68</v>
      </c>
      <c r="U46" s="186">
        <v>1.31</v>
      </c>
      <c r="V46" s="186">
        <v>1.46</v>
      </c>
      <c r="W46" s="186">
        <v>0.93</v>
      </c>
      <c r="X46" s="186">
        <v>0.66</v>
      </c>
      <c r="Y46" s="186">
        <v>0.56000000000000005</v>
      </c>
      <c r="Z46" s="186">
        <v>0.46</v>
      </c>
      <c r="AA46" s="186">
        <v>0.5</v>
      </c>
      <c r="AB46" s="186">
        <v>0.47</v>
      </c>
      <c r="AC46" s="186">
        <v>0.94</v>
      </c>
      <c r="AD46" s="186">
        <v>1.3</v>
      </c>
      <c r="AE46" s="186">
        <v>1.74</v>
      </c>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row>
    <row r="47" spans="2:57" x14ac:dyDescent="0.25">
      <c r="B47" s="88">
        <v>2028</v>
      </c>
      <c r="C47" s="89"/>
      <c r="D47" s="186">
        <v>1.48</v>
      </c>
      <c r="E47" s="186">
        <v>0.71</v>
      </c>
      <c r="F47" s="186">
        <v>0.48</v>
      </c>
      <c r="G47" s="186">
        <v>1.33</v>
      </c>
      <c r="H47" s="186">
        <v>1.68</v>
      </c>
      <c r="I47" s="186">
        <v>1.31</v>
      </c>
      <c r="J47" s="186">
        <v>1.46</v>
      </c>
      <c r="K47" s="186">
        <v>0.93</v>
      </c>
      <c r="L47" s="186">
        <v>0.66</v>
      </c>
      <c r="M47" s="186">
        <v>0.56000000000000005</v>
      </c>
      <c r="N47" s="186">
        <v>0.46</v>
      </c>
      <c r="O47" s="186">
        <v>0.5</v>
      </c>
      <c r="P47" s="186">
        <v>0.47</v>
      </c>
      <c r="Q47" s="186">
        <v>0.94</v>
      </c>
      <c r="R47" s="186">
        <v>1.3</v>
      </c>
      <c r="S47" s="186">
        <v>1.74</v>
      </c>
      <c r="T47" s="186">
        <v>1.68</v>
      </c>
      <c r="U47" s="186">
        <v>1.31</v>
      </c>
      <c r="V47" s="186">
        <v>1.46</v>
      </c>
      <c r="W47" s="186">
        <v>0.93</v>
      </c>
      <c r="X47" s="186">
        <v>0.66</v>
      </c>
      <c r="Y47" s="186">
        <v>0.56000000000000005</v>
      </c>
      <c r="Z47" s="186">
        <v>0.46</v>
      </c>
      <c r="AA47" s="186">
        <v>0.5</v>
      </c>
      <c r="AB47" s="186">
        <v>0.47</v>
      </c>
      <c r="AC47" s="186">
        <v>0.94</v>
      </c>
      <c r="AD47" s="186">
        <v>1.3</v>
      </c>
      <c r="AE47" s="186">
        <v>1.74</v>
      </c>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row>
    <row r="48" spans="2:57" ht="15.75" thickBot="1" x14ac:dyDescent="0.3"/>
    <row r="49" spans="2:48" ht="18.600000000000001" customHeight="1" x14ac:dyDescent="0.25">
      <c r="B49" s="395" t="s">
        <v>96</v>
      </c>
      <c r="C49" s="396"/>
      <c r="D49" s="396"/>
      <c r="E49" s="396"/>
      <c r="F49" s="396"/>
      <c r="G49" s="396"/>
      <c r="H49" s="396"/>
      <c r="I49" s="396"/>
      <c r="J49" s="396"/>
      <c r="K49" s="396"/>
      <c r="L49" s="396"/>
      <c r="M49" s="396"/>
      <c r="N49" s="396"/>
      <c r="O49" s="396"/>
      <c r="P49" s="396"/>
      <c r="Q49" s="396"/>
      <c r="R49" s="396"/>
      <c r="S49" s="396"/>
      <c r="T49" s="396"/>
      <c r="U49" s="396"/>
      <c r="V49" s="396"/>
      <c r="W49" s="396"/>
      <c r="X49" s="396"/>
      <c r="Y49" s="396"/>
      <c r="Z49" s="396"/>
      <c r="AA49" s="396"/>
      <c r="AB49" s="396"/>
      <c r="AC49" s="396"/>
      <c r="AD49" s="396"/>
      <c r="AE49" s="396"/>
      <c r="AF49" s="396"/>
      <c r="AG49" s="396"/>
      <c r="AH49" s="396"/>
      <c r="AI49" s="396"/>
      <c r="AJ49" s="396"/>
      <c r="AK49" s="396"/>
      <c r="AL49" s="396"/>
      <c r="AM49" s="396"/>
      <c r="AN49" s="396"/>
      <c r="AO49" s="396"/>
      <c r="AP49" s="396"/>
      <c r="AQ49" s="397"/>
    </row>
    <row r="50" spans="2:48" ht="15.75" x14ac:dyDescent="0.25">
      <c r="B50" s="382" t="s">
        <v>125</v>
      </c>
      <c r="C50" s="383"/>
      <c r="D50" s="383"/>
      <c r="E50" s="383"/>
      <c r="F50" s="383"/>
      <c r="G50" s="383"/>
      <c r="H50" s="383"/>
      <c r="I50" s="383"/>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383"/>
      <c r="AK50" s="383"/>
      <c r="AL50" s="383"/>
      <c r="AM50" s="383"/>
      <c r="AN50" s="383"/>
      <c r="AO50" s="383"/>
      <c r="AP50" s="383"/>
      <c r="AQ50" s="384"/>
    </row>
    <row r="51" spans="2:48" ht="14.45" customHeight="1" x14ac:dyDescent="0.25">
      <c r="B51" s="190"/>
      <c r="C51" s="385" t="s">
        <v>112</v>
      </c>
      <c r="D51" s="376" t="s">
        <v>97</v>
      </c>
      <c r="E51" s="377"/>
      <c r="F51" s="377"/>
      <c r="G51" s="378"/>
      <c r="H51" s="376" t="s">
        <v>98</v>
      </c>
      <c r="I51" s="377"/>
      <c r="J51" s="377"/>
      <c r="K51" s="377"/>
      <c r="L51" s="377"/>
      <c r="M51" s="377"/>
      <c r="N51" s="377"/>
      <c r="O51" s="377"/>
      <c r="P51" s="377"/>
      <c r="Q51" s="377"/>
      <c r="R51" s="377"/>
      <c r="S51" s="378"/>
      <c r="T51" s="376" t="s">
        <v>99</v>
      </c>
      <c r="U51" s="377"/>
      <c r="V51" s="377"/>
      <c r="W51" s="377"/>
      <c r="X51" s="377"/>
      <c r="Y51" s="377"/>
      <c r="Z51" s="377"/>
      <c r="AA51" s="377"/>
      <c r="AB51" s="377"/>
      <c r="AC51" s="377"/>
      <c r="AD51" s="377"/>
      <c r="AE51" s="378"/>
      <c r="AF51" s="376" t="s">
        <v>100</v>
      </c>
      <c r="AG51" s="377"/>
      <c r="AH51" s="377"/>
      <c r="AI51" s="377"/>
      <c r="AJ51" s="377"/>
      <c r="AK51" s="377"/>
      <c r="AL51" s="377"/>
      <c r="AM51" s="377"/>
      <c r="AN51" s="377"/>
      <c r="AO51" s="377"/>
      <c r="AP51" s="377"/>
      <c r="AQ51" s="379"/>
    </row>
    <row r="52" spans="2:48" x14ac:dyDescent="0.25">
      <c r="B52" s="189" t="s">
        <v>113</v>
      </c>
      <c r="C52" s="385"/>
      <c r="D52" s="331" t="s">
        <v>9</v>
      </c>
      <c r="E52" s="332" t="s">
        <v>10</v>
      </c>
      <c r="F52" s="332" t="s">
        <v>11</v>
      </c>
      <c r="G52" s="333" t="s">
        <v>12</v>
      </c>
      <c r="H52" s="173" t="s">
        <v>35</v>
      </c>
      <c r="I52" s="165" t="s">
        <v>36</v>
      </c>
      <c r="J52" s="165" t="s">
        <v>37</v>
      </c>
      <c r="K52" s="165" t="s">
        <v>38</v>
      </c>
      <c r="L52" s="165" t="s">
        <v>39</v>
      </c>
      <c r="M52" s="165" t="s">
        <v>40</v>
      </c>
      <c r="N52" s="165" t="s">
        <v>41</v>
      </c>
      <c r="O52" s="165" t="s">
        <v>42</v>
      </c>
      <c r="P52" s="165" t="s">
        <v>43</v>
      </c>
      <c r="Q52" s="165" t="s">
        <v>44</v>
      </c>
      <c r="R52" s="165" t="s">
        <v>45</v>
      </c>
      <c r="S52" s="183" t="s">
        <v>46</v>
      </c>
      <c r="T52" s="173" t="s">
        <v>35</v>
      </c>
      <c r="U52" s="165" t="s">
        <v>36</v>
      </c>
      <c r="V52" s="165" t="s">
        <v>37</v>
      </c>
      <c r="W52" s="165" t="s">
        <v>38</v>
      </c>
      <c r="X52" s="165" t="s">
        <v>39</v>
      </c>
      <c r="Y52" s="165" t="s">
        <v>40</v>
      </c>
      <c r="Z52" s="165" t="s">
        <v>41</v>
      </c>
      <c r="AA52" s="165" t="s">
        <v>42</v>
      </c>
      <c r="AB52" s="165" t="s">
        <v>43</v>
      </c>
      <c r="AC52" s="165" t="s">
        <v>44</v>
      </c>
      <c r="AD52" s="165" t="s">
        <v>45</v>
      </c>
      <c r="AE52" s="183" t="s">
        <v>46</v>
      </c>
      <c r="AF52" s="174" t="s">
        <v>35</v>
      </c>
      <c r="AG52" s="165" t="s">
        <v>36</v>
      </c>
      <c r="AH52" s="165" t="s">
        <v>37</v>
      </c>
      <c r="AI52" s="165" t="s">
        <v>38</v>
      </c>
      <c r="AJ52" s="165" t="s">
        <v>39</v>
      </c>
      <c r="AK52" s="165" t="s">
        <v>40</v>
      </c>
      <c r="AL52" s="165" t="s">
        <v>41</v>
      </c>
      <c r="AM52" s="165" t="s">
        <v>42</v>
      </c>
      <c r="AN52" s="165" t="s">
        <v>43</v>
      </c>
      <c r="AO52" s="165" t="s">
        <v>44</v>
      </c>
      <c r="AP52" s="165" t="s">
        <v>45</v>
      </c>
      <c r="AQ52" s="334" t="s">
        <v>46</v>
      </c>
    </row>
    <row r="53" spans="2:48" x14ac:dyDescent="0.25">
      <c r="B53" s="189" t="s">
        <v>114</v>
      </c>
      <c r="C53" s="385"/>
      <c r="D53" s="149">
        <f>1/$C$11*D11*$D$21</f>
        <v>0.27123287671232882</v>
      </c>
      <c r="E53" s="142">
        <f>1/$C$11*E11*$D$21</f>
        <v>0.27424657534246577</v>
      </c>
      <c r="F53" s="142">
        <f>1/$C$11*F11*$D$21</f>
        <v>0.27726027397260278</v>
      </c>
      <c r="G53" s="144">
        <f>1/$C$11*G11*$D$21</f>
        <v>0.27726027397260278</v>
      </c>
      <c r="H53" s="147">
        <f t="shared" ref="H53:S53" si="0">1/$C$11*H11*$E$21</f>
        <v>0.10616438356164383</v>
      </c>
      <c r="I53" s="147">
        <f t="shared" si="0"/>
        <v>9.5890410958904118E-2</v>
      </c>
      <c r="J53" s="147">
        <f t="shared" si="0"/>
        <v>0.10616438356164383</v>
      </c>
      <c r="K53" s="147">
        <f t="shared" si="0"/>
        <v>0.10273972602739725</v>
      </c>
      <c r="L53" s="147">
        <f t="shared" si="0"/>
        <v>0.10616438356164383</v>
      </c>
      <c r="M53" s="147">
        <f t="shared" si="0"/>
        <v>0.10273972602739725</v>
      </c>
      <c r="N53" s="147">
        <f t="shared" si="0"/>
        <v>0.10616438356164383</v>
      </c>
      <c r="O53" s="147">
        <f t="shared" si="0"/>
        <v>0.10616438356164383</v>
      </c>
      <c r="P53" s="147">
        <f t="shared" si="0"/>
        <v>0.10273972602739725</v>
      </c>
      <c r="Q53" s="147">
        <f t="shared" si="0"/>
        <v>0.10616438356164383</v>
      </c>
      <c r="R53" s="147">
        <f t="shared" si="0"/>
        <v>0.10273972602739725</v>
      </c>
      <c r="S53" s="144">
        <f t="shared" si="0"/>
        <v>0.10616438356164383</v>
      </c>
      <c r="T53" s="142">
        <f>1/$C$11*$F$21</f>
        <v>4.1095890410958909E-3</v>
      </c>
      <c r="U53" s="142">
        <f t="shared" ref="U53:AE53" si="1">1/$C$11*$F$21</f>
        <v>4.1095890410958909E-3</v>
      </c>
      <c r="V53" s="142">
        <f t="shared" si="1"/>
        <v>4.1095890410958909E-3</v>
      </c>
      <c r="W53" s="142">
        <f t="shared" si="1"/>
        <v>4.1095890410958909E-3</v>
      </c>
      <c r="X53" s="142">
        <f t="shared" si="1"/>
        <v>4.1095890410958909E-3</v>
      </c>
      <c r="Y53" s="142">
        <f t="shared" si="1"/>
        <v>4.1095890410958909E-3</v>
      </c>
      <c r="Z53" s="142">
        <f t="shared" si="1"/>
        <v>4.1095890410958909E-3</v>
      </c>
      <c r="AA53" s="142">
        <f t="shared" si="1"/>
        <v>4.1095890410958909E-3</v>
      </c>
      <c r="AB53" s="142">
        <f t="shared" si="1"/>
        <v>4.1095890410958909E-3</v>
      </c>
      <c r="AC53" s="142">
        <f t="shared" si="1"/>
        <v>4.1095890410958909E-3</v>
      </c>
      <c r="AD53" s="142">
        <f t="shared" si="1"/>
        <v>4.1095890410958909E-3</v>
      </c>
      <c r="AE53" s="144">
        <f t="shared" si="1"/>
        <v>4.1095890410958909E-3</v>
      </c>
      <c r="AF53" s="147">
        <f>1/$C$11*$G$21</f>
        <v>4.1095890410958909E-3</v>
      </c>
      <c r="AG53" s="147">
        <f t="shared" ref="AG53:AQ53" si="2">1/$C$11*$G$21</f>
        <v>4.1095890410958909E-3</v>
      </c>
      <c r="AH53" s="147">
        <f t="shared" si="2"/>
        <v>4.1095890410958909E-3</v>
      </c>
      <c r="AI53" s="147">
        <f t="shared" si="2"/>
        <v>4.1095890410958909E-3</v>
      </c>
      <c r="AJ53" s="147">
        <f t="shared" si="2"/>
        <v>4.1095890410958909E-3</v>
      </c>
      <c r="AK53" s="147">
        <f t="shared" si="2"/>
        <v>4.1095890410958909E-3</v>
      </c>
      <c r="AL53" s="147">
        <f t="shared" si="2"/>
        <v>4.1095890410958909E-3</v>
      </c>
      <c r="AM53" s="147">
        <f t="shared" si="2"/>
        <v>4.1095890410958909E-3</v>
      </c>
      <c r="AN53" s="147">
        <f t="shared" si="2"/>
        <v>4.1095890410958909E-3</v>
      </c>
      <c r="AO53" s="147">
        <f t="shared" si="2"/>
        <v>4.1095890410958909E-3</v>
      </c>
      <c r="AP53" s="147">
        <f t="shared" si="2"/>
        <v>4.1095890410958909E-3</v>
      </c>
      <c r="AQ53" s="200">
        <f t="shared" si="2"/>
        <v>4.1095890410958909E-3</v>
      </c>
    </row>
    <row r="54" spans="2:48" x14ac:dyDescent="0.25">
      <c r="B54" s="189" t="s">
        <v>115</v>
      </c>
      <c r="C54" s="385"/>
      <c r="D54" s="149">
        <f>1/$C$11*D11*$H$21</f>
        <v>0.27123287671232882</v>
      </c>
      <c r="E54" s="142">
        <f>1/$C$11*E11*$H$21</f>
        <v>0.27424657534246577</v>
      </c>
      <c r="F54" s="142">
        <f>1/$C$11*F11*$H$21</f>
        <v>0.27726027397260278</v>
      </c>
      <c r="G54" s="144">
        <f>1/$C$11*G11*$H$21</f>
        <v>0.27726027397260278</v>
      </c>
      <c r="H54" s="147">
        <f t="shared" ref="H54:S54" si="3">1/$C$11*H11*$I$21</f>
        <v>0.10616438356164383</v>
      </c>
      <c r="I54" s="147">
        <f t="shared" si="3"/>
        <v>9.5890410958904118E-2</v>
      </c>
      <c r="J54" s="147">
        <f t="shared" si="3"/>
        <v>0.10616438356164383</v>
      </c>
      <c r="K54" s="147">
        <f t="shared" si="3"/>
        <v>0.10273972602739725</v>
      </c>
      <c r="L54" s="147">
        <f t="shared" si="3"/>
        <v>0.10616438356164383</v>
      </c>
      <c r="M54" s="147">
        <f t="shared" si="3"/>
        <v>0.10273972602739725</v>
      </c>
      <c r="N54" s="147">
        <f t="shared" si="3"/>
        <v>0.10616438356164383</v>
      </c>
      <c r="O54" s="147">
        <f t="shared" si="3"/>
        <v>0.10616438356164383</v>
      </c>
      <c r="P54" s="147">
        <f t="shared" si="3"/>
        <v>0.10273972602739725</v>
      </c>
      <c r="Q54" s="147">
        <f t="shared" si="3"/>
        <v>0.10616438356164383</v>
      </c>
      <c r="R54" s="147">
        <f t="shared" si="3"/>
        <v>0.10273972602739725</v>
      </c>
      <c r="S54" s="144">
        <f t="shared" si="3"/>
        <v>0.10616438356164383</v>
      </c>
      <c r="T54" s="142">
        <f>1/$C$11*$J$21</f>
        <v>4.1095890410958909E-3</v>
      </c>
      <c r="U54" s="142">
        <f t="shared" ref="U54:AE54" si="4">1/$C$11*$J$21</f>
        <v>4.1095890410958909E-3</v>
      </c>
      <c r="V54" s="142">
        <f t="shared" si="4"/>
        <v>4.1095890410958909E-3</v>
      </c>
      <c r="W54" s="142">
        <f t="shared" si="4"/>
        <v>4.1095890410958909E-3</v>
      </c>
      <c r="X54" s="142">
        <f t="shared" si="4"/>
        <v>4.1095890410958909E-3</v>
      </c>
      <c r="Y54" s="142">
        <f t="shared" si="4"/>
        <v>4.1095890410958909E-3</v>
      </c>
      <c r="Z54" s="142">
        <f t="shared" si="4"/>
        <v>4.1095890410958909E-3</v>
      </c>
      <c r="AA54" s="142">
        <f t="shared" si="4"/>
        <v>4.1095890410958909E-3</v>
      </c>
      <c r="AB54" s="142">
        <f t="shared" si="4"/>
        <v>4.1095890410958909E-3</v>
      </c>
      <c r="AC54" s="142">
        <f t="shared" si="4"/>
        <v>4.1095890410958909E-3</v>
      </c>
      <c r="AD54" s="142">
        <f t="shared" si="4"/>
        <v>4.1095890410958909E-3</v>
      </c>
      <c r="AE54" s="144">
        <f t="shared" si="4"/>
        <v>4.1095890410958909E-3</v>
      </c>
      <c r="AF54" s="147">
        <f>1/$C$11*$K$21</f>
        <v>4.1095890410958909E-3</v>
      </c>
      <c r="AG54" s="147">
        <f t="shared" ref="AG54:AQ54" si="5">1/$C$11*$K$21</f>
        <v>4.1095890410958909E-3</v>
      </c>
      <c r="AH54" s="147">
        <f t="shared" si="5"/>
        <v>4.1095890410958909E-3</v>
      </c>
      <c r="AI54" s="147">
        <f t="shared" si="5"/>
        <v>4.1095890410958909E-3</v>
      </c>
      <c r="AJ54" s="147">
        <f t="shared" si="5"/>
        <v>4.1095890410958909E-3</v>
      </c>
      <c r="AK54" s="147">
        <f t="shared" si="5"/>
        <v>4.1095890410958909E-3</v>
      </c>
      <c r="AL54" s="147">
        <f t="shared" si="5"/>
        <v>4.1095890410958909E-3</v>
      </c>
      <c r="AM54" s="147">
        <f t="shared" si="5"/>
        <v>4.1095890410958909E-3</v>
      </c>
      <c r="AN54" s="147">
        <f t="shared" si="5"/>
        <v>4.1095890410958909E-3</v>
      </c>
      <c r="AO54" s="147">
        <f t="shared" si="5"/>
        <v>4.1095890410958909E-3</v>
      </c>
      <c r="AP54" s="147">
        <f t="shared" si="5"/>
        <v>4.1095890410958909E-3</v>
      </c>
      <c r="AQ54" s="200">
        <f t="shared" si="5"/>
        <v>4.1095890410958909E-3</v>
      </c>
    </row>
    <row r="55" spans="2:48" x14ac:dyDescent="0.25">
      <c r="B55" s="189" t="s">
        <v>116</v>
      </c>
      <c r="C55" s="385"/>
      <c r="D55" s="149">
        <f>1/$C$11*D11*$L$21*D42</f>
        <v>0.47157534246575344</v>
      </c>
      <c r="E55" s="142">
        <f>1/$C$11*E11*$L$21*E42</f>
        <v>0.19945205479452058</v>
      </c>
      <c r="F55" s="142">
        <f>1/$C$11*F11*$L$21*F42</f>
        <v>0.15438356164383563</v>
      </c>
      <c r="G55" s="144">
        <f>1/$C$11*G11*$L$21*G42</f>
        <v>0.42219178082191788</v>
      </c>
      <c r="H55" s="147">
        <f t="shared" ref="H55:S55" si="6">1/$C$11*H11*$M$21*H42</f>
        <v>0.23186301369863016</v>
      </c>
      <c r="I55" s="147">
        <f t="shared" si="6"/>
        <v>0.15764383561643835</v>
      </c>
      <c r="J55" s="147">
        <f t="shared" si="6"/>
        <v>0.17963013698630137</v>
      </c>
      <c r="K55" s="147">
        <f t="shared" si="6"/>
        <v>9.986301369863014E-2</v>
      </c>
      <c r="L55" s="147">
        <f t="shared" si="6"/>
        <v>7.7712328767123293E-2</v>
      </c>
      <c r="M55" s="147">
        <f t="shared" si="6"/>
        <v>6.0410958904109587E-2</v>
      </c>
      <c r="N55" s="147">
        <f t="shared" si="6"/>
        <v>4.9684931506849321E-2</v>
      </c>
      <c r="O55" s="147">
        <f t="shared" si="6"/>
        <v>5.8602739726027399E-2</v>
      </c>
      <c r="P55" s="147">
        <f t="shared" si="6"/>
        <v>7.6438356164383561E-2</v>
      </c>
      <c r="Q55" s="147">
        <f t="shared" si="6"/>
        <v>0.1363150684931507</v>
      </c>
      <c r="R55" s="147">
        <f t="shared" si="6"/>
        <v>0.16643835616438357</v>
      </c>
      <c r="S55" s="144">
        <f t="shared" si="6"/>
        <v>0.20383561643835618</v>
      </c>
      <c r="T55" s="142">
        <f>1/$C$11*$N$21*T42</f>
        <v>1.4958904109589043E-2</v>
      </c>
      <c r="U55" s="142">
        <f t="shared" ref="U55:AE55" si="7">1/$C$11*$N$21*U42</f>
        <v>1.1260273972602743E-2</v>
      </c>
      <c r="V55" s="142">
        <f t="shared" si="7"/>
        <v>1.1589041095890412E-2</v>
      </c>
      <c r="W55" s="142">
        <f t="shared" si="7"/>
        <v>6.657534246575344E-3</v>
      </c>
      <c r="X55" s="142">
        <f t="shared" si="7"/>
        <v>5.0136986301369865E-3</v>
      </c>
      <c r="Y55" s="142">
        <f t="shared" si="7"/>
        <v>4.0273972602739728E-3</v>
      </c>
      <c r="Z55" s="142">
        <f t="shared" si="7"/>
        <v>3.2054794520547949E-3</v>
      </c>
      <c r="AA55" s="142">
        <f t="shared" si="7"/>
        <v>3.7808219178082198E-3</v>
      </c>
      <c r="AB55" s="142">
        <f t="shared" si="7"/>
        <v>5.0958904109589045E-3</v>
      </c>
      <c r="AC55" s="142">
        <f t="shared" si="7"/>
        <v>8.7945205479452067E-3</v>
      </c>
      <c r="AD55" s="142">
        <f t="shared" si="7"/>
        <v>1.1095890410958906E-2</v>
      </c>
      <c r="AE55" s="144">
        <f t="shared" si="7"/>
        <v>1.3150684931506852E-2</v>
      </c>
      <c r="AF55" s="147">
        <f>1/$C$11*$N$21*T42</f>
        <v>1.4958904109589043E-2</v>
      </c>
      <c r="AG55" s="147">
        <f t="shared" ref="AG55:AQ55" si="8">1/$C$11*$N$21*U42</f>
        <v>1.1260273972602743E-2</v>
      </c>
      <c r="AH55" s="147">
        <f t="shared" si="8"/>
        <v>1.1589041095890412E-2</v>
      </c>
      <c r="AI55" s="147">
        <f t="shared" si="8"/>
        <v>6.657534246575344E-3</v>
      </c>
      <c r="AJ55" s="147">
        <f t="shared" si="8"/>
        <v>5.0136986301369865E-3</v>
      </c>
      <c r="AK55" s="147">
        <f t="shared" si="8"/>
        <v>4.0273972602739728E-3</v>
      </c>
      <c r="AL55" s="147">
        <f t="shared" si="8"/>
        <v>3.2054794520547949E-3</v>
      </c>
      <c r="AM55" s="147">
        <f t="shared" si="8"/>
        <v>3.7808219178082198E-3</v>
      </c>
      <c r="AN55" s="147">
        <f t="shared" si="8"/>
        <v>5.0958904109589045E-3</v>
      </c>
      <c r="AO55" s="147">
        <f t="shared" si="8"/>
        <v>8.7945205479452067E-3</v>
      </c>
      <c r="AP55" s="147">
        <f t="shared" si="8"/>
        <v>1.1095890410958906E-2</v>
      </c>
      <c r="AQ55" s="200">
        <f t="shared" si="8"/>
        <v>1.3150684931506852E-2</v>
      </c>
    </row>
    <row r="56" spans="2:48" x14ac:dyDescent="0.25">
      <c r="B56" s="189" t="s">
        <v>117</v>
      </c>
      <c r="C56" s="380"/>
      <c r="D56" s="149">
        <f>1/$C$11*D11*$L$21*D32</f>
        <v>0.47157534246575344</v>
      </c>
      <c r="E56" s="142">
        <f>1/$C$11*E11*$L$21*E32</f>
        <v>0.19945205479452058</v>
      </c>
      <c r="F56" s="142">
        <f>1/$C$11*F11*$L$21*F32</f>
        <v>0.15438356164383563</v>
      </c>
      <c r="G56" s="144">
        <f>1/$C$11*G11*$L$21*G32</f>
        <v>0.42219178082191788</v>
      </c>
      <c r="H56" s="147">
        <f t="shared" ref="H56:S56" si="9">1/$C$11*H11*$M$21*H32</f>
        <v>0.23186301369863016</v>
      </c>
      <c r="I56" s="147">
        <f t="shared" si="9"/>
        <v>0.15764383561643835</v>
      </c>
      <c r="J56" s="147">
        <f t="shared" si="9"/>
        <v>0.17963013698630137</v>
      </c>
      <c r="K56" s="147">
        <f t="shared" si="9"/>
        <v>9.986301369863014E-2</v>
      </c>
      <c r="L56" s="147">
        <f t="shared" si="9"/>
        <v>7.7712328767123293E-2</v>
      </c>
      <c r="M56" s="147">
        <f t="shared" si="9"/>
        <v>6.0410958904109587E-2</v>
      </c>
      <c r="N56" s="147">
        <f t="shared" si="9"/>
        <v>4.9684931506849321E-2</v>
      </c>
      <c r="O56" s="147">
        <f t="shared" si="9"/>
        <v>5.8602739726027399E-2</v>
      </c>
      <c r="P56" s="147">
        <f t="shared" si="9"/>
        <v>7.6438356164383561E-2</v>
      </c>
      <c r="Q56" s="147">
        <f t="shared" si="9"/>
        <v>0.1363150684931507</v>
      </c>
      <c r="R56" s="147">
        <f t="shared" si="9"/>
        <v>0.16643835616438357</v>
      </c>
      <c r="S56" s="144">
        <f t="shared" si="9"/>
        <v>0.20383561643835618</v>
      </c>
      <c r="T56" s="142">
        <f t="shared" ref="T56:AE56" si="10">1/$C$11*$N$21*T32</f>
        <v>1.4958904109589043E-2</v>
      </c>
      <c r="U56" s="142">
        <f t="shared" si="10"/>
        <v>1.1260273972602743E-2</v>
      </c>
      <c r="V56" s="142">
        <f t="shared" si="10"/>
        <v>1.1589041095890412E-2</v>
      </c>
      <c r="W56" s="142">
        <f t="shared" si="10"/>
        <v>6.657534246575344E-3</v>
      </c>
      <c r="X56" s="142">
        <f t="shared" si="10"/>
        <v>5.0136986301369865E-3</v>
      </c>
      <c r="Y56" s="142">
        <f t="shared" si="10"/>
        <v>4.0273972602739728E-3</v>
      </c>
      <c r="Z56" s="142">
        <f t="shared" si="10"/>
        <v>3.2054794520547949E-3</v>
      </c>
      <c r="AA56" s="142">
        <f t="shared" si="10"/>
        <v>3.7808219178082198E-3</v>
      </c>
      <c r="AB56" s="142">
        <f t="shared" si="10"/>
        <v>5.0958904109589045E-3</v>
      </c>
      <c r="AC56" s="142">
        <f t="shared" si="10"/>
        <v>8.7945205479452067E-3</v>
      </c>
      <c r="AD56" s="142">
        <f t="shared" si="10"/>
        <v>1.1095890410958906E-2</v>
      </c>
      <c r="AE56" s="144">
        <f t="shared" si="10"/>
        <v>1.3150684931506852E-2</v>
      </c>
      <c r="AF56" s="147">
        <f t="shared" ref="AF56:AQ56" si="11">1/$C$11*$N$21*T32</f>
        <v>1.4958904109589043E-2</v>
      </c>
      <c r="AG56" s="147">
        <f t="shared" si="11"/>
        <v>1.1260273972602743E-2</v>
      </c>
      <c r="AH56" s="147">
        <f t="shared" si="11"/>
        <v>1.1589041095890412E-2</v>
      </c>
      <c r="AI56" s="147">
        <f t="shared" si="11"/>
        <v>6.657534246575344E-3</v>
      </c>
      <c r="AJ56" s="147">
        <f t="shared" si="11"/>
        <v>5.0136986301369865E-3</v>
      </c>
      <c r="AK56" s="147">
        <f t="shared" si="11"/>
        <v>4.0273972602739728E-3</v>
      </c>
      <c r="AL56" s="147">
        <f t="shared" si="11"/>
        <v>3.2054794520547949E-3</v>
      </c>
      <c r="AM56" s="147">
        <f t="shared" si="11"/>
        <v>3.7808219178082198E-3</v>
      </c>
      <c r="AN56" s="147">
        <f t="shared" si="11"/>
        <v>5.0958904109589045E-3</v>
      </c>
      <c r="AO56" s="147">
        <f t="shared" si="11"/>
        <v>8.7945205479452067E-3</v>
      </c>
      <c r="AP56" s="147">
        <f t="shared" si="11"/>
        <v>1.1095890410958906E-2</v>
      </c>
      <c r="AQ56" s="200">
        <f t="shared" si="11"/>
        <v>1.3150684931506852E-2</v>
      </c>
    </row>
    <row r="57" spans="2:48" x14ac:dyDescent="0.25">
      <c r="B57" s="190" t="s">
        <v>101</v>
      </c>
      <c r="C57" s="159">
        <f>ROUND('Kainos 2026-2028'!E124,2)</f>
        <v>142.77000000000001</v>
      </c>
      <c r="D57" s="196">
        <f>$C$57*D53</f>
        <v>38.723917808219191</v>
      </c>
      <c r="E57" s="197">
        <f>$C$57*E53</f>
        <v>39.154183561643841</v>
      </c>
      <c r="F57" s="197">
        <f>$C$57*F53</f>
        <v>39.584449315068504</v>
      </c>
      <c r="G57" s="198">
        <f>$C$57*G53</f>
        <v>39.584449315068504</v>
      </c>
      <c r="H57" s="150">
        <f>$C$57*H53</f>
        <v>15.15708904109589</v>
      </c>
      <c r="I57" s="141">
        <f t="shared" ref="I57:AP57" si="12">$C$57*I53</f>
        <v>13.690273972602743</v>
      </c>
      <c r="J57" s="141">
        <f t="shared" si="12"/>
        <v>15.15708904109589</v>
      </c>
      <c r="K57" s="141">
        <f t="shared" si="12"/>
        <v>14.668150684931508</v>
      </c>
      <c r="L57" s="141">
        <f t="shared" si="12"/>
        <v>15.15708904109589</v>
      </c>
      <c r="M57" s="141">
        <f t="shared" si="12"/>
        <v>14.668150684931508</v>
      </c>
      <c r="N57" s="141">
        <f t="shared" si="12"/>
        <v>15.15708904109589</v>
      </c>
      <c r="O57" s="141">
        <f t="shared" si="12"/>
        <v>15.15708904109589</v>
      </c>
      <c r="P57" s="141">
        <f t="shared" si="12"/>
        <v>14.668150684931508</v>
      </c>
      <c r="Q57" s="141">
        <f t="shared" si="12"/>
        <v>15.15708904109589</v>
      </c>
      <c r="R57" s="141">
        <f t="shared" si="12"/>
        <v>14.668150684931508</v>
      </c>
      <c r="S57" s="145">
        <f t="shared" si="12"/>
        <v>15.15708904109589</v>
      </c>
      <c r="T57" s="150">
        <f t="shared" si="12"/>
        <v>0.58672602739726043</v>
      </c>
      <c r="U57" s="141">
        <f>$C$57*U53</f>
        <v>0.58672602739726043</v>
      </c>
      <c r="V57" s="141">
        <f t="shared" si="12"/>
        <v>0.58672602739726043</v>
      </c>
      <c r="W57" s="141">
        <f t="shared" si="12"/>
        <v>0.58672602739726043</v>
      </c>
      <c r="X57" s="141">
        <f t="shared" si="12"/>
        <v>0.58672602739726043</v>
      </c>
      <c r="Y57" s="141">
        <f t="shared" si="12"/>
        <v>0.58672602739726043</v>
      </c>
      <c r="Z57" s="141">
        <f t="shared" si="12"/>
        <v>0.58672602739726043</v>
      </c>
      <c r="AA57" s="141">
        <f t="shared" si="12"/>
        <v>0.58672602739726043</v>
      </c>
      <c r="AB57" s="141">
        <f t="shared" si="12"/>
        <v>0.58672602739726043</v>
      </c>
      <c r="AC57" s="141">
        <f t="shared" si="12"/>
        <v>0.58672602739726043</v>
      </c>
      <c r="AD57" s="141">
        <f t="shared" si="12"/>
        <v>0.58672602739726043</v>
      </c>
      <c r="AE57" s="145">
        <f t="shared" si="12"/>
        <v>0.58672602739726043</v>
      </c>
      <c r="AF57" s="148">
        <f t="shared" si="12"/>
        <v>0.58672602739726043</v>
      </c>
      <c r="AG57" s="141">
        <f t="shared" si="12"/>
        <v>0.58672602739726043</v>
      </c>
      <c r="AH57" s="141">
        <f t="shared" si="12"/>
        <v>0.58672602739726043</v>
      </c>
      <c r="AI57" s="141">
        <f t="shared" si="12"/>
        <v>0.58672602739726043</v>
      </c>
      <c r="AJ57" s="141">
        <f t="shared" si="12"/>
        <v>0.58672602739726043</v>
      </c>
      <c r="AK57" s="141">
        <f t="shared" si="12"/>
        <v>0.58672602739726043</v>
      </c>
      <c r="AL57" s="141">
        <f t="shared" si="12"/>
        <v>0.58672602739726043</v>
      </c>
      <c r="AM57" s="141">
        <f t="shared" si="12"/>
        <v>0.58672602739726043</v>
      </c>
      <c r="AN57" s="141">
        <f t="shared" si="12"/>
        <v>0.58672602739726043</v>
      </c>
      <c r="AO57" s="141">
        <f t="shared" si="12"/>
        <v>0.58672602739726043</v>
      </c>
      <c r="AP57" s="141">
        <f t="shared" si="12"/>
        <v>0.58672602739726043</v>
      </c>
      <c r="AQ57" s="201">
        <f>$C$57*AQ53</f>
        <v>0.58672602739726043</v>
      </c>
      <c r="AS57" s="237"/>
      <c r="AT57" s="238"/>
      <c r="AU57" s="73"/>
      <c r="AV57" s="238"/>
    </row>
    <row r="58" spans="2:48" x14ac:dyDescent="0.25">
      <c r="B58" s="190" t="s">
        <v>124</v>
      </c>
      <c r="C58" s="159">
        <f>ROUND('Kainos 2026-2028'!E126,2)</f>
        <v>35.96</v>
      </c>
      <c r="D58" s="150">
        <f>$C$58*D53</f>
        <v>9.7535342465753452</v>
      </c>
      <c r="E58" s="141">
        <f t="shared" ref="E58:AQ58" si="13">$C$58*E53</f>
        <v>9.8619068493150692</v>
      </c>
      <c r="F58" s="141">
        <f t="shared" si="13"/>
        <v>9.9702794520547968</v>
      </c>
      <c r="G58" s="145">
        <f t="shared" si="13"/>
        <v>9.9702794520547968</v>
      </c>
      <c r="H58" s="150">
        <f t="shared" si="13"/>
        <v>3.8176712328767124</v>
      </c>
      <c r="I58" s="141">
        <f t="shared" si="13"/>
        <v>3.448219178082192</v>
      </c>
      <c r="J58" s="141">
        <f t="shared" si="13"/>
        <v>3.8176712328767124</v>
      </c>
      <c r="K58" s="141">
        <f t="shared" si="13"/>
        <v>3.6945205479452055</v>
      </c>
      <c r="L58" s="141">
        <f t="shared" si="13"/>
        <v>3.8176712328767124</v>
      </c>
      <c r="M58" s="141">
        <f t="shared" si="13"/>
        <v>3.6945205479452055</v>
      </c>
      <c r="N58" s="141">
        <f t="shared" si="13"/>
        <v>3.8176712328767124</v>
      </c>
      <c r="O58" s="141">
        <f t="shared" si="13"/>
        <v>3.8176712328767124</v>
      </c>
      <c r="P58" s="141">
        <f t="shared" si="13"/>
        <v>3.6945205479452055</v>
      </c>
      <c r="Q58" s="141">
        <f t="shared" si="13"/>
        <v>3.8176712328767124</v>
      </c>
      <c r="R58" s="141">
        <f t="shared" si="13"/>
        <v>3.6945205479452055</v>
      </c>
      <c r="S58" s="145">
        <f t="shared" si="13"/>
        <v>3.8176712328767124</v>
      </c>
      <c r="T58" s="150">
        <f>$C$58*T53</f>
        <v>0.14778082191780825</v>
      </c>
      <c r="U58" s="141">
        <f t="shared" si="13"/>
        <v>0.14778082191780825</v>
      </c>
      <c r="V58" s="141">
        <f t="shared" si="13"/>
        <v>0.14778082191780825</v>
      </c>
      <c r="W58" s="141">
        <f t="shared" si="13"/>
        <v>0.14778082191780825</v>
      </c>
      <c r="X58" s="141">
        <f t="shared" si="13"/>
        <v>0.14778082191780825</v>
      </c>
      <c r="Y58" s="141">
        <f t="shared" si="13"/>
        <v>0.14778082191780825</v>
      </c>
      <c r="Z58" s="141">
        <f t="shared" si="13"/>
        <v>0.14778082191780825</v>
      </c>
      <c r="AA58" s="141">
        <f t="shared" si="13"/>
        <v>0.14778082191780825</v>
      </c>
      <c r="AB58" s="141">
        <f t="shared" si="13"/>
        <v>0.14778082191780825</v>
      </c>
      <c r="AC58" s="141">
        <f t="shared" si="13"/>
        <v>0.14778082191780825</v>
      </c>
      <c r="AD58" s="141">
        <f t="shared" si="13"/>
        <v>0.14778082191780825</v>
      </c>
      <c r="AE58" s="145">
        <f t="shared" si="13"/>
        <v>0.14778082191780825</v>
      </c>
      <c r="AF58" s="148">
        <f t="shared" si="13"/>
        <v>0.14778082191780825</v>
      </c>
      <c r="AG58" s="141">
        <f t="shared" si="13"/>
        <v>0.14778082191780825</v>
      </c>
      <c r="AH58" s="141">
        <f t="shared" si="13"/>
        <v>0.14778082191780825</v>
      </c>
      <c r="AI58" s="141">
        <f t="shared" si="13"/>
        <v>0.14778082191780825</v>
      </c>
      <c r="AJ58" s="141">
        <f t="shared" si="13"/>
        <v>0.14778082191780825</v>
      </c>
      <c r="AK58" s="141">
        <f t="shared" si="13"/>
        <v>0.14778082191780825</v>
      </c>
      <c r="AL58" s="141">
        <f t="shared" si="13"/>
        <v>0.14778082191780825</v>
      </c>
      <c r="AM58" s="141">
        <f t="shared" si="13"/>
        <v>0.14778082191780825</v>
      </c>
      <c r="AN58" s="141">
        <f t="shared" si="13"/>
        <v>0.14778082191780825</v>
      </c>
      <c r="AO58" s="141">
        <f t="shared" si="13"/>
        <v>0.14778082191780825</v>
      </c>
      <c r="AP58" s="141">
        <f t="shared" si="13"/>
        <v>0.14778082191780825</v>
      </c>
      <c r="AQ58" s="201">
        <f t="shared" si="13"/>
        <v>0.14778082191780825</v>
      </c>
      <c r="AS58" s="237"/>
      <c r="AT58" s="238"/>
      <c r="AU58" s="73"/>
      <c r="AV58" s="238"/>
    </row>
    <row r="59" spans="2:48" x14ac:dyDescent="0.25">
      <c r="B59" s="190" t="s">
        <v>104</v>
      </c>
      <c r="C59" s="159">
        <f>ROUND('Kainos 2026-2028'!E127,2)</f>
        <v>142.77000000000001</v>
      </c>
      <c r="D59" s="150">
        <f>$C$59*D53</f>
        <v>38.723917808219191</v>
      </c>
      <c r="E59" s="141">
        <f t="shared" ref="E59:AQ59" si="14">$C$59*E53</f>
        <v>39.154183561643841</v>
      </c>
      <c r="F59" s="141">
        <f t="shared" si="14"/>
        <v>39.584449315068504</v>
      </c>
      <c r="G59" s="145">
        <f t="shared" si="14"/>
        <v>39.584449315068504</v>
      </c>
      <c r="H59" s="150">
        <f t="shared" si="14"/>
        <v>15.15708904109589</v>
      </c>
      <c r="I59" s="141">
        <f t="shared" si="14"/>
        <v>13.690273972602743</v>
      </c>
      <c r="J59" s="141">
        <f t="shared" si="14"/>
        <v>15.15708904109589</v>
      </c>
      <c r="K59" s="141">
        <f t="shared" si="14"/>
        <v>14.668150684931508</v>
      </c>
      <c r="L59" s="141">
        <f t="shared" si="14"/>
        <v>15.15708904109589</v>
      </c>
      <c r="M59" s="141">
        <f t="shared" si="14"/>
        <v>14.668150684931508</v>
      </c>
      <c r="N59" s="141">
        <f t="shared" si="14"/>
        <v>15.15708904109589</v>
      </c>
      <c r="O59" s="141">
        <f t="shared" si="14"/>
        <v>15.15708904109589</v>
      </c>
      <c r="P59" s="141">
        <f t="shared" si="14"/>
        <v>14.668150684931508</v>
      </c>
      <c r="Q59" s="141">
        <f t="shared" si="14"/>
        <v>15.15708904109589</v>
      </c>
      <c r="R59" s="141">
        <f t="shared" si="14"/>
        <v>14.668150684931508</v>
      </c>
      <c r="S59" s="145">
        <f t="shared" si="14"/>
        <v>15.15708904109589</v>
      </c>
      <c r="T59" s="150">
        <f t="shared" si="14"/>
        <v>0.58672602739726043</v>
      </c>
      <c r="U59" s="141">
        <f t="shared" si="14"/>
        <v>0.58672602739726043</v>
      </c>
      <c r="V59" s="141">
        <f t="shared" si="14"/>
        <v>0.58672602739726043</v>
      </c>
      <c r="W59" s="141">
        <f t="shared" si="14"/>
        <v>0.58672602739726043</v>
      </c>
      <c r="X59" s="141">
        <f t="shared" si="14"/>
        <v>0.58672602739726043</v>
      </c>
      <c r="Y59" s="141">
        <f t="shared" si="14"/>
        <v>0.58672602739726043</v>
      </c>
      <c r="Z59" s="141">
        <f t="shared" si="14"/>
        <v>0.58672602739726043</v>
      </c>
      <c r="AA59" s="141">
        <f t="shared" si="14"/>
        <v>0.58672602739726043</v>
      </c>
      <c r="AB59" s="141">
        <f t="shared" si="14"/>
        <v>0.58672602739726043</v>
      </c>
      <c r="AC59" s="141">
        <f t="shared" si="14"/>
        <v>0.58672602739726043</v>
      </c>
      <c r="AD59" s="141">
        <f t="shared" si="14"/>
        <v>0.58672602739726043</v>
      </c>
      <c r="AE59" s="145">
        <f t="shared" si="14"/>
        <v>0.58672602739726043</v>
      </c>
      <c r="AF59" s="148">
        <f t="shared" si="14"/>
        <v>0.58672602739726043</v>
      </c>
      <c r="AG59" s="141">
        <f t="shared" si="14"/>
        <v>0.58672602739726043</v>
      </c>
      <c r="AH59" s="141">
        <f t="shared" si="14"/>
        <v>0.58672602739726043</v>
      </c>
      <c r="AI59" s="141">
        <f t="shared" si="14"/>
        <v>0.58672602739726043</v>
      </c>
      <c r="AJ59" s="141">
        <f t="shared" si="14"/>
        <v>0.58672602739726043</v>
      </c>
      <c r="AK59" s="141">
        <f t="shared" si="14"/>
        <v>0.58672602739726043</v>
      </c>
      <c r="AL59" s="141">
        <f t="shared" si="14"/>
        <v>0.58672602739726043</v>
      </c>
      <c r="AM59" s="141">
        <f t="shared" si="14"/>
        <v>0.58672602739726043</v>
      </c>
      <c r="AN59" s="141">
        <f t="shared" si="14"/>
        <v>0.58672602739726043</v>
      </c>
      <c r="AO59" s="141">
        <f t="shared" si="14"/>
        <v>0.58672602739726043</v>
      </c>
      <c r="AP59" s="141">
        <f t="shared" si="14"/>
        <v>0.58672602739726043</v>
      </c>
      <c r="AQ59" s="201">
        <f t="shared" si="14"/>
        <v>0.58672602739726043</v>
      </c>
      <c r="AS59" s="237"/>
      <c r="AT59" s="238"/>
      <c r="AU59" s="73"/>
      <c r="AV59" s="238"/>
    </row>
    <row r="60" spans="2:48" x14ac:dyDescent="0.25">
      <c r="B60" s="190" t="s">
        <v>105</v>
      </c>
      <c r="C60" s="159">
        <f>ROUND('Kainos 2026-2028'!E128,2)</f>
        <v>142.77000000000001</v>
      </c>
      <c r="D60" s="150">
        <f>$C$60*D53</f>
        <v>38.723917808219191</v>
      </c>
      <c r="E60" s="141">
        <f t="shared" ref="E60:AQ60" si="15">$C$60*E53</f>
        <v>39.154183561643841</v>
      </c>
      <c r="F60" s="141">
        <f t="shared" si="15"/>
        <v>39.584449315068504</v>
      </c>
      <c r="G60" s="145">
        <f t="shared" si="15"/>
        <v>39.584449315068504</v>
      </c>
      <c r="H60" s="150">
        <f t="shared" si="15"/>
        <v>15.15708904109589</v>
      </c>
      <c r="I60" s="141">
        <f t="shared" si="15"/>
        <v>13.690273972602743</v>
      </c>
      <c r="J60" s="141">
        <f t="shared" si="15"/>
        <v>15.15708904109589</v>
      </c>
      <c r="K60" s="141">
        <f t="shared" si="15"/>
        <v>14.668150684931508</v>
      </c>
      <c r="L60" s="141">
        <f t="shared" si="15"/>
        <v>15.15708904109589</v>
      </c>
      <c r="M60" s="141">
        <f t="shared" si="15"/>
        <v>14.668150684931508</v>
      </c>
      <c r="N60" s="141">
        <f t="shared" si="15"/>
        <v>15.15708904109589</v>
      </c>
      <c r="O60" s="141">
        <f t="shared" si="15"/>
        <v>15.15708904109589</v>
      </c>
      <c r="P60" s="141">
        <f t="shared" si="15"/>
        <v>14.668150684931508</v>
      </c>
      <c r="Q60" s="141">
        <f t="shared" si="15"/>
        <v>15.15708904109589</v>
      </c>
      <c r="R60" s="141">
        <f t="shared" si="15"/>
        <v>14.668150684931508</v>
      </c>
      <c r="S60" s="145">
        <f t="shared" si="15"/>
        <v>15.15708904109589</v>
      </c>
      <c r="T60" s="150">
        <f>$C$60*T53</f>
        <v>0.58672602739726043</v>
      </c>
      <c r="U60" s="141">
        <f t="shared" si="15"/>
        <v>0.58672602739726043</v>
      </c>
      <c r="V60" s="141">
        <f t="shared" si="15"/>
        <v>0.58672602739726043</v>
      </c>
      <c r="W60" s="141">
        <f t="shared" si="15"/>
        <v>0.58672602739726043</v>
      </c>
      <c r="X60" s="141">
        <f t="shared" si="15"/>
        <v>0.58672602739726043</v>
      </c>
      <c r="Y60" s="141">
        <f t="shared" si="15"/>
        <v>0.58672602739726043</v>
      </c>
      <c r="Z60" s="141">
        <f t="shared" si="15"/>
        <v>0.58672602739726043</v>
      </c>
      <c r="AA60" s="141">
        <f t="shared" si="15"/>
        <v>0.58672602739726043</v>
      </c>
      <c r="AB60" s="141">
        <f t="shared" si="15"/>
        <v>0.58672602739726043</v>
      </c>
      <c r="AC60" s="141">
        <f t="shared" si="15"/>
        <v>0.58672602739726043</v>
      </c>
      <c r="AD60" s="141">
        <f t="shared" si="15"/>
        <v>0.58672602739726043</v>
      </c>
      <c r="AE60" s="145">
        <f t="shared" si="15"/>
        <v>0.58672602739726043</v>
      </c>
      <c r="AF60" s="148">
        <f t="shared" si="15"/>
        <v>0.58672602739726043</v>
      </c>
      <c r="AG60" s="141">
        <f t="shared" si="15"/>
        <v>0.58672602739726043</v>
      </c>
      <c r="AH60" s="141">
        <f t="shared" si="15"/>
        <v>0.58672602739726043</v>
      </c>
      <c r="AI60" s="141">
        <f t="shared" si="15"/>
        <v>0.58672602739726043</v>
      </c>
      <c r="AJ60" s="141">
        <f t="shared" si="15"/>
        <v>0.58672602739726043</v>
      </c>
      <c r="AK60" s="141">
        <f t="shared" si="15"/>
        <v>0.58672602739726043</v>
      </c>
      <c r="AL60" s="141">
        <f t="shared" si="15"/>
        <v>0.58672602739726043</v>
      </c>
      <c r="AM60" s="141">
        <f t="shared" si="15"/>
        <v>0.58672602739726043</v>
      </c>
      <c r="AN60" s="141">
        <f t="shared" si="15"/>
        <v>0.58672602739726043</v>
      </c>
      <c r="AO60" s="141">
        <f t="shared" si="15"/>
        <v>0.58672602739726043</v>
      </c>
      <c r="AP60" s="141">
        <f t="shared" si="15"/>
        <v>0.58672602739726043</v>
      </c>
      <c r="AQ60" s="201">
        <f t="shared" si="15"/>
        <v>0.58672602739726043</v>
      </c>
    </row>
    <row r="61" spans="2:48" x14ac:dyDescent="0.25">
      <c r="B61" s="190" t="s">
        <v>106</v>
      </c>
      <c r="C61" s="159">
        <f>ROUND('Kainos 2026-2028'!E129,2)</f>
        <v>142.77000000000001</v>
      </c>
      <c r="D61" s="150">
        <f>$C$61*D53</f>
        <v>38.723917808219191</v>
      </c>
      <c r="E61" s="141">
        <f t="shared" ref="E61:AQ61" si="16">$C$61*E53</f>
        <v>39.154183561643841</v>
      </c>
      <c r="F61" s="141">
        <f t="shared" si="16"/>
        <v>39.584449315068504</v>
      </c>
      <c r="G61" s="145">
        <f t="shared" si="16"/>
        <v>39.584449315068504</v>
      </c>
      <c r="H61" s="150">
        <f t="shared" si="16"/>
        <v>15.15708904109589</v>
      </c>
      <c r="I61" s="141">
        <f t="shared" si="16"/>
        <v>13.690273972602743</v>
      </c>
      <c r="J61" s="141">
        <f t="shared" si="16"/>
        <v>15.15708904109589</v>
      </c>
      <c r="K61" s="141">
        <f t="shared" si="16"/>
        <v>14.668150684931508</v>
      </c>
      <c r="L61" s="141">
        <f t="shared" si="16"/>
        <v>15.15708904109589</v>
      </c>
      <c r="M61" s="141">
        <f t="shared" si="16"/>
        <v>14.668150684931508</v>
      </c>
      <c r="N61" s="141">
        <f t="shared" si="16"/>
        <v>15.15708904109589</v>
      </c>
      <c r="O61" s="141">
        <f t="shared" si="16"/>
        <v>15.15708904109589</v>
      </c>
      <c r="P61" s="141">
        <f t="shared" si="16"/>
        <v>14.668150684931508</v>
      </c>
      <c r="Q61" s="141">
        <f t="shared" si="16"/>
        <v>15.15708904109589</v>
      </c>
      <c r="R61" s="141">
        <f t="shared" si="16"/>
        <v>14.668150684931508</v>
      </c>
      <c r="S61" s="145">
        <f t="shared" si="16"/>
        <v>15.15708904109589</v>
      </c>
      <c r="T61" s="150">
        <f t="shared" si="16"/>
        <v>0.58672602739726043</v>
      </c>
      <c r="U61" s="141">
        <f t="shared" si="16"/>
        <v>0.58672602739726043</v>
      </c>
      <c r="V61" s="141">
        <f t="shared" si="16"/>
        <v>0.58672602739726043</v>
      </c>
      <c r="W61" s="141">
        <f t="shared" si="16"/>
        <v>0.58672602739726043</v>
      </c>
      <c r="X61" s="141">
        <f t="shared" si="16"/>
        <v>0.58672602739726043</v>
      </c>
      <c r="Y61" s="141">
        <f t="shared" si="16"/>
        <v>0.58672602739726043</v>
      </c>
      <c r="Z61" s="141">
        <f t="shared" si="16"/>
        <v>0.58672602739726043</v>
      </c>
      <c r="AA61" s="141">
        <f t="shared" si="16"/>
        <v>0.58672602739726043</v>
      </c>
      <c r="AB61" s="141">
        <f t="shared" si="16"/>
        <v>0.58672602739726043</v>
      </c>
      <c r="AC61" s="141">
        <f t="shared" si="16"/>
        <v>0.58672602739726043</v>
      </c>
      <c r="AD61" s="141">
        <f t="shared" si="16"/>
        <v>0.58672602739726043</v>
      </c>
      <c r="AE61" s="145">
        <f t="shared" si="16"/>
        <v>0.58672602739726043</v>
      </c>
      <c r="AF61" s="148">
        <f t="shared" si="16"/>
        <v>0.58672602739726043</v>
      </c>
      <c r="AG61" s="141">
        <f t="shared" si="16"/>
        <v>0.58672602739726043</v>
      </c>
      <c r="AH61" s="141">
        <f t="shared" si="16"/>
        <v>0.58672602739726043</v>
      </c>
      <c r="AI61" s="141">
        <f t="shared" si="16"/>
        <v>0.58672602739726043</v>
      </c>
      <c r="AJ61" s="141">
        <f t="shared" si="16"/>
        <v>0.58672602739726043</v>
      </c>
      <c r="AK61" s="141">
        <f t="shared" si="16"/>
        <v>0.58672602739726043</v>
      </c>
      <c r="AL61" s="141">
        <f t="shared" si="16"/>
        <v>0.58672602739726043</v>
      </c>
      <c r="AM61" s="141">
        <f t="shared" si="16"/>
        <v>0.58672602739726043</v>
      </c>
      <c r="AN61" s="141">
        <f t="shared" si="16"/>
        <v>0.58672602739726043</v>
      </c>
      <c r="AO61" s="141">
        <f t="shared" si="16"/>
        <v>0.58672602739726043</v>
      </c>
      <c r="AP61" s="141">
        <f t="shared" si="16"/>
        <v>0.58672602739726043</v>
      </c>
      <c r="AQ61" s="201">
        <f t="shared" si="16"/>
        <v>0.58672602739726043</v>
      </c>
    </row>
    <row r="62" spans="2:48" x14ac:dyDescent="0.25">
      <c r="B62" s="190" t="s">
        <v>107</v>
      </c>
      <c r="C62" s="159">
        <f>ROUND('Kainos 2026-2028'!E130,2)</f>
        <v>116.66</v>
      </c>
      <c r="D62" s="150">
        <f>+$C$62*D54</f>
        <v>31.642027397260279</v>
      </c>
      <c r="E62" s="141">
        <f t="shared" ref="E62:AQ62" si="17">+$C$62*E54</f>
        <v>31.993605479452057</v>
      </c>
      <c r="F62" s="141">
        <f t="shared" si="17"/>
        <v>32.345183561643836</v>
      </c>
      <c r="G62" s="145">
        <f t="shared" si="17"/>
        <v>32.345183561643836</v>
      </c>
      <c r="H62" s="150">
        <f t="shared" si="17"/>
        <v>12.385136986301369</v>
      </c>
      <c r="I62" s="141">
        <f t="shared" si="17"/>
        <v>11.186575342465755</v>
      </c>
      <c r="J62" s="141">
        <f t="shared" si="17"/>
        <v>12.385136986301369</v>
      </c>
      <c r="K62" s="141">
        <f t="shared" si="17"/>
        <v>11.985616438356164</v>
      </c>
      <c r="L62" s="141">
        <f t="shared" si="17"/>
        <v>12.385136986301369</v>
      </c>
      <c r="M62" s="141">
        <f t="shared" si="17"/>
        <v>11.985616438356164</v>
      </c>
      <c r="N62" s="141">
        <f t="shared" si="17"/>
        <v>12.385136986301369</v>
      </c>
      <c r="O62" s="141">
        <f t="shared" si="17"/>
        <v>12.385136986301369</v>
      </c>
      <c r="P62" s="141">
        <f t="shared" si="17"/>
        <v>11.985616438356164</v>
      </c>
      <c r="Q62" s="141">
        <f t="shared" si="17"/>
        <v>12.385136986301369</v>
      </c>
      <c r="R62" s="141">
        <f t="shared" si="17"/>
        <v>11.985616438356164</v>
      </c>
      <c r="S62" s="145">
        <f t="shared" si="17"/>
        <v>12.385136986301369</v>
      </c>
      <c r="T62" s="150">
        <f>+$C$62*T54</f>
        <v>0.47942465753424662</v>
      </c>
      <c r="U62" s="141">
        <f t="shared" si="17"/>
        <v>0.47942465753424662</v>
      </c>
      <c r="V62" s="141">
        <f t="shared" si="17"/>
        <v>0.47942465753424662</v>
      </c>
      <c r="W62" s="141">
        <f t="shared" si="17"/>
        <v>0.47942465753424662</v>
      </c>
      <c r="X62" s="141">
        <f t="shared" si="17"/>
        <v>0.47942465753424662</v>
      </c>
      <c r="Y62" s="141">
        <f t="shared" si="17"/>
        <v>0.47942465753424662</v>
      </c>
      <c r="Z62" s="141">
        <f t="shared" si="17"/>
        <v>0.47942465753424662</v>
      </c>
      <c r="AA62" s="141">
        <f t="shared" si="17"/>
        <v>0.47942465753424662</v>
      </c>
      <c r="AB62" s="141">
        <f t="shared" si="17"/>
        <v>0.47942465753424662</v>
      </c>
      <c r="AC62" s="141">
        <f t="shared" si="17"/>
        <v>0.47942465753424662</v>
      </c>
      <c r="AD62" s="141">
        <f t="shared" si="17"/>
        <v>0.47942465753424662</v>
      </c>
      <c r="AE62" s="145">
        <f t="shared" si="17"/>
        <v>0.47942465753424662</v>
      </c>
      <c r="AF62" s="148">
        <f t="shared" si="17"/>
        <v>0.47942465753424662</v>
      </c>
      <c r="AG62" s="141">
        <f t="shared" si="17"/>
        <v>0.47942465753424662</v>
      </c>
      <c r="AH62" s="141">
        <f t="shared" si="17"/>
        <v>0.47942465753424662</v>
      </c>
      <c r="AI62" s="141">
        <f t="shared" si="17"/>
        <v>0.47942465753424662</v>
      </c>
      <c r="AJ62" s="141">
        <f t="shared" si="17"/>
        <v>0.47942465753424662</v>
      </c>
      <c r="AK62" s="141">
        <f t="shared" si="17"/>
        <v>0.47942465753424662</v>
      </c>
      <c r="AL62" s="141">
        <f t="shared" si="17"/>
        <v>0.47942465753424662</v>
      </c>
      <c r="AM62" s="141">
        <f t="shared" si="17"/>
        <v>0.47942465753424662</v>
      </c>
      <c r="AN62" s="141">
        <f t="shared" si="17"/>
        <v>0.47942465753424662</v>
      </c>
      <c r="AO62" s="141">
        <f t="shared" si="17"/>
        <v>0.47942465753424662</v>
      </c>
      <c r="AP62" s="141">
        <f t="shared" si="17"/>
        <v>0.47942465753424662</v>
      </c>
      <c r="AQ62" s="201">
        <f t="shared" si="17"/>
        <v>0.47942465753424662</v>
      </c>
    </row>
    <row r="63" spans="2:48" x14ac:dyDescent="0.25">
      <c r="B63" s="190" t="s">
        <v>108</v>
      </c>
      <c r="C63" s="159">
        <f>ROUND('Kainos 2026-2028'!E131,2)</f>
        <v>46.7</v>
      </c>
      <c r="D63" s="150">
        <f>+$C$63*D55</f>
        <v>22.022568493150686</v>
      </c>
      <c r="E63" s="141">
        <f t="shared" ref="E63:AQ63" si="18">+$C$63*E55</f>
        <v>9.3144109589041122</v>
      </c>
      <c r="F63" s="141">
        <f t="shared" si="18"/>
        <v>7.2097123287671243</v>
      </c>
      <c r="G63" s="145">
        <f t="shared" si="18"/>
        <v>19.716356164383566</v>
      </c>
      <c r="H63" s="150">
        <f t="shared" si="18"/>
        <v>10.828002739726029</v>
      </c>
      <c r="I63" s="141">
        <f t="shared" si="18"/>
        <v>7.3619671232876716</v>
      </c>
      <c r="J63" s="141">
        <f t="shared" si="18"/>
        <v>8.3887273972602738</v>
      </c>
      <c r="K63" s="141">
        <f t="shared" si="18"/>
        <v>4.663602739726028</v>
      </c>
      <c r="L63" s="141">
        <f t="shared" si="18"/>
        <v>3.6291657534246582</v>
      </c>
      <c r="M63" s="141">
        <f t="shared" si="18"/>
        <v>2.821191780821918</v>
      </c>
      <c r="N63" s="141">
        <f t="shared" si="18"/>
        <v>2.3202863013698636</v>
      </c>
      <c r="O63" s="141">
        <f t="shared" si="18"/>
        <v>2.7367479452054795</v>
      </c>
      <c r="P63" s="141">
        <f t="shared" si="18"/>
        <v>3.5696712328767126</v>
      </c>
      <c r="Q63" s="141">
        <f t="shared" si="18"/>
        <v>6.3659136986301377</v>
      </c>
      <c r="R63" s="141">
        <f t="shared" si="18"/>
        <v>7.7726712328767134</v>
      </c>
      <c r="S63" s="145">
        <f t="shared" si="18"/>
        <v>9.5191232876712348</v>
      </c>
      <c r="T63" s="150">
        <f t="shared" si="18"/>
        <v>0.69858082191780835</v>
      </c>
      <c r="U63" s="141">
        <f t="shared" si="18"/>
        <v>0.52585479452054806</v>
      </c>
      <c r="V63" s="141">
        <f t="shared" si="18"/>
        <v>0.54120821917808226</v>
      </c>
      <c r="W63" s="141">
        <f t="shared" si="18"/>
        <v>0.31090684931506857</v>
      </c>
      <c r="X63" s="141">
        <f t="shared" si="18"/>
        <v>0.23413972602739727</v>
      </c>
      <c r="Y63" s="141">
        <f t="shared" si="18"/>
        <v>0.18807945205479454</v>
      </c>
      <c r="Z63" s="141">
        <f t="shared" si="18"/>
        <v>0.14969589041095893</v>
      </c>
      <c r="AA63" s="141">
        <f t="shared" si="18"/>
        <v>0.17656438356164386</v>
      </c>
      <c r="AB63" s="141">
        <f t="shared" si="18"/>
        <v>0.23797808219178085</v>
      </c>
      <c r="AC63" s="141">
        <f t="shared" si="18"/>
        <v>0.41070410958904119</v>
      </c>
      <c r="AD63" s="141">
        <f t="shared" si="18"/>
        <v>0.51817808219178096</v>
      </c>
      <c r="AE63" s="145">
        <f t="shared" si="18"/>
        <v>0.61413698630137004</v>
      </c>
      <c r="AF63" s="148">
        <f t="shared" si="18"/>
        <v>0.69858082191780835</v>
      </c>
      <c r="AG63" s="141">
        <f t="shared" si="18"/>
        <v>0.52585479452054806</v>
      </c>
      <c r="AH63" s="141">
        <f t="shared" si="18"/>
        <v>0.54120821917808226</v>
      </c>
      <c r="AI63" s="141">
        <f t="shared" si="18"/>
        <v>0.31090684931506857</v>
      </c>
      <c r="AJ63" s="141">
        <f t="shared" si="18"/>
        <v>0.23413972602739727</v>
      </c>
      <c r="AK63" s="141">
        <f t="shared" si="18"/>
        <v>0.18807945205479454</v>
      </c>
      <c r="AL63" s="141">
        <f t="shared" si="18"/>
        <v>0.14969589041095893</v>
      </c>
      <c r="AM63" s="141">
        <f t="shared" si="18"/>
        <v>0.17656438356164386</v>
      </c>
      <c r="AN63" s="141">
        <f t="shared" si="18"/>
        <v>0.23797808219178085</v>
      </c>
      <c r="AO63" s="141">
        <f t="shared" si="18"/>
        <v>0.41070410958904119</v>
      </c>
      <c r="AP63" s="141">
        <f t="shared" si="18"/>
        <v>0.51817808219178096</v>
      </c>
      <c r="AQ63" s="201">
        <f t="shared" si="18"/>
        <v>0.61413698630137004</v>
      </c>
    </row>
    <row r="64" spans="2:48" x14ac:dyDescent="0.25">
      <c r="B64" s="190" t="s">
        <v>109</v>
      </c>
      <c r="C64" s="159">
        <f>ROUND('Kainos 2026-2028'!E132,2)</f>
        <v>116.66</v>
      </c>
      <c r="D64" s="150">
        <f>+$C$64*D54</f>
        <v>31.642027397260279</v>
      </c>
      <c r="E64" s="141">
        <f t="shared" ref="E64:AQ64" si="19">+$C$64*E54</f>
        <v>31.993605479452057</v>
      </c>
      <c r="F64" s="141">
        <f t="shared" si="19"/>
        <v>32.345183561643836</v>
      </c>
      <c r="G64" s="145">
        <f t="shared" si="19"/>
        <v>32.345183561643836</v>
      </c>
      <c r="H64" s="150">
        <f t="shared" si="19"/>
        <v>12.385136986301369</v>
      </c>
      <c r="I64" s="141">
        <f t="shared" si="19"/>
        <v>11.186575342465755</v>
      </c>
      <c r="J64" s="141">
        <f t="shared" si="19"/>
        <v>12.385136986301369</v>
      </c>
      <c r="K64" s="141">
        <f t="shared" si="19"/>
        <v>11.985616438356164</v>
      </c>
      <c r="L64" s="141">
        <f t="shared" si="19"/>
        <v>12.385136986301369</v>
      </c>
      <c r="M64" s="141">
        <f t="shared" si="19"/>
        <v>11.985616438356164</v>
      </c>
      <c r="N64" s="141">
        <f t="shared" si="19"/>
        <v>12.385136986301369</v>
      </c>
      <c r="O64" s="141">
        <f t="shared" si="19"/>
        <v>12.385136986301369</v>
      </c>
      <c r="P64" s="141">
        <f t="shared" si="19"/>
        <v>11.985616438356164</v>
      </c>
      <c r="Q64" s="141">
        <f t="shared" si="19"/>
        <v>12.385136986301369</v>
      </c>
      <c r="R64" s="141">
        <f t="shared" si="19"/>
        <v>11.985616438356164</v>
      </c>
      <c r="S64" s="145">
        <f t="shared" si="19"/>
        <v>12.385136986301369</v>
      </c>
      <c r="T64" s="150">
        <f t="shared" si="19"/>
        <v>0.47942465753424662</v>
      </c>
      <c r="U64" s="141">
        <f t="shared" si="19"/>
        <v>0.47942465753424662</v>
      </c>
      <c r="V64" s="141">
        <f t="shared" si="19"/>
        <v>0.47942465753424662</v>
      </c>
      <c r="W64" s="141">
        <f t="shared" si="19"/>
        <v>0.47942465753424662</v>
      </c>
      <c r="X64" s="141">
        <f t="shared" si="19"/>
        <v>0.47942465753424662</v>
      </c>
      <c r="Y64" s="141">
        <f t="shared" si="19"/>
        <v>0.47942465753424662</v>
      </c>
      <c r="Z64" s="141">
        <f t="shared" si="19"/>
        <v>0.47942465753424662</v>
      </c>
      <c r="AA64" s="141">
        <f t="shared" si="19"/>
        <v>0.47942465753424662</v>
      </c>
      <c r="AB64" s="141">
        <f t="shared" si="19"/>
        <v>0.47942465753424662</v>
      </c>
      <c r="AC64" s="141">
        <f t="shared" si="19"/>
        <v>0.47942465753424662</v>
      </c>
      <c r="AD64" s="141">
        <f t="shared" si="19"/>
        <v>0.47942465753424662</v>
      </c>
      <c r="AE64" s="145">
        <f t="shared" si="19"/>
        <v>0.47942465753424662</v>
      </c>
      <c r="AF64" s="148">
        <f t="shared" si="19"/>
        <v>0.47942465753424662</v>
      </c>
      <c r="AG64" s="141">
        <f t="shared" si="19"/>
        <v>0.47942465753424662</v>
      </c>
      <c r="AH64" s="141">
        <f t="shared" si="19"/>
        <v>0.47942465753424662</v>
      </c>
      <c r="AI64" s="141">
        <f t="shared" si="19"/>
        <v>0.47942465753424662</v>
      </c>
      <c r="AJ64" s="141">
        <f t="shared" si="19"/>
        <v>0.47942465753424662</v>
      </c>
      <c r="AK64" s="141">
        <f t="shared" si="19"/>
        <v>0.47942465753424662</v>
      </c>
      <c r="AL64" s="141">
        <f t="shared" si="19"/>
        <v>0.47942465753424662</v>
      </c>
      <c r="AM64" s="141">
        <f t="shared" si="19"/>
        <v>0.47942465753424662</v>
      </c>
      <c r="AN64" s="141">
        <f t="shared" si="19"/>
        <v>0.47942465753424662</v>
      </c>
      <c r="AO64" s="141">
        <f t="shared" si="19"/>
        <v>0.47942465753424662</v>
      </c>
      <c r="AP64" s="141">
        <f t="shared" si="19"/>
        <v>0.47942465753424662</v>
      </c>
      <c r="AQ64" s="201">
        <f t="shared" si="19"/>
        <v>0.47942465753424662</v>
      </c>
    </row>
    <row r="65" spans="2:43" x14ac:dyDescent="0.25">
      <c r="B65" s="190" t="s">
        <v>110</v>
      </c>
      <c r="C65" s="159">
        <f>ROUND('Kainos 2026-2028'!E136,2)</f>
        <v>100.86</v>
      </c>
      <c r="D65" s="150">
        <f>+$C$65*D56</f>
        <v>47.563089041095893</v>
      </c>
      <c r="E65" s="141">
        <f>+$C$65*E56</f>
        <v>20.116734246575344</v>
      </c>
      <c r="F65" s="141">
        <f t="shared" ref="F65:AQ65" si="20">+$C$65*F56</f>
        <v>15.571126027397261</v>
      </c>
      <c r="G65" s="145">
        <f>+$C$65*G56</f>
        <v>42.582263013698636</v>
      </c>
      <c r="H65" s="150">
        <f>+$C$65*H56</f>
        <v>23.385703561643837</v>
      </c>
      <c r="I65" s="141">
        <f>+$C$65*I56</f>
        <v>15.899957260273972</v>
      </c>
      <c r="J65" s="141">
        <f t="shared" si="20"/>
        <v>18.117495616438354</v>
      </c>
      <c r="K65" s="141">
        <f t="shared" si="20"/>
        <v>10.072183561643836</v>
      </c>
      <c r="L65" s="141">
        <f t="shared" si="20"/>
        <v>7.8380654794520552</v>
      </c>
      <c r="M65" s="141">
        <f t="shared" si="20"/>
        <v>6.0930493150684928</v>
      </c>
      <c r="N65" s="141">
        <f t="shared" si="20"/>
        <v>5.0112221917808224</v>
      </c>
      <c r="O65" s="141">
        <f t="shared" si="20"/>
        <v>5.9106723287671237</v>
      </c>
      <c r="P65" s="141">
        <f t="shared" si="20"/>
        <v>7.7095726027397262</v>
      </c>
      <c r="Q65" s="141">
        <f t="shared" si="20"/>
        <v>13.748737808219179</v>
      </c>
      <c r="R65" s="141">
        <f t="shared" si="20"/>
        <v>16.786972602739727</v>
      </c>
      <c r="S65" s="145">
        <f t="shared" si="20"/>
        <v>20.558860273972606</v>
      </c>
      <c r="T65" s="150">
        <f t="shared" si="20"/>
        <v>1.5087550684931508</v>
      </c>
      <c r="U65" s="141">
        <f t="shared" si="20"/>
        <v>1.1357112328767127</v>
      </c>
      <c r="V65" s="141">
        <f t="shared" si="20"/>
        <v>1.1688706849315069</v>
      </c>
      <c r="W65" s="141">
        <f t="shared" si="20"/>
        <v>0.67147890410958921</v>
      </c>
      <c r="X65" s="141">
        <f t="shared" si="20"/>
        <v>0.50568164383561642</v>
      </c>
      <c r="Y65" s="141">
        <f t="shared" si="20"/>
        <v>0.40620328767123287</v>
      </c>
      <c r="Z65" s="141">
        <f t="shared" si="20"/>
        <v>0.32330465753424659</v>
      </c>
      <c r="AA65" s="141">
        <f t="shared" si="20"/>
        <v>0.38133369863013705</v>
      </c>
      <c r="AB65" s="141">
        <f t="shared" si="20"/>
        <v>0.51397150684931514</v>
      </c>
      <c r="AC65" s="141">
        <f t="shared" si="20"/>
        <v>0.88701534246575353</v>
      </c>
      <c r="AD65" s="141">
        <f t="shared" si="20"/>
        <v>1.1191315068493153</v>
      </c>
      <c r="AE65" s="145">
        <f t="shared" si="20"/>
        <v>1.326378082191781</v>
      </c>
      <c r="AF65" s="148">
        <f t="shared" si="20"/>
        <v>1.5087550684931508</v>
      </c>
      <c r="AG65" s="141">
        <f t="shared" si="20"/>
        <v>1.1357112328767127</v>
      </c>
      <c r="AH65" s="141">
        <f t="shared" si="20"/>
        <v>1.1688706849315069</v>
      </c>
      <c r="AI65" s="141">
        <f t="shared" si="20"/>
        <v>0.67147890410958921</v>
      </c>
      <c r="AJ65" s="141">
        <f t="shared" si="20"/>
        <v>0.50568164383561642</v>
      </c>
      <c r="AK65" s="141">
        <f t="shared" si="20"/>
        <v>0.40620328767123287</v>
      </c>
      <c r="AL65" s="141">
        <f t="shared" si="20"/>
        <v>0.32330465753424659</v>
      </c>
      <c r="AM65" s="141">
        <f t="shared" si="20"/>
        <v>0.38133369863013705</v>
      </c>
      <c r="AN65" s="141">
        <f t="shared" si="20"/>
        <v>0.51397150684931514</v>
      </c>
      <c r="AO65" s="141">
        <f t="shared" si="20"/>
        <v>0.88701534246575353</v>
      </c>
      <c r="AP65" s="141">
        <f t="shared" si="20"/>
        <v>1.1191315068493153</v>
      </c>
      <c r="AQ65" s="201">
        <f t="shared" si="20"/>
        <v>1.326378082191781</v>
      </c>
    </row>
    <row r="66" spans="2:43" x14ac:dyDescent="0.25">
      <c r="B66" s="190" t="s">
        <v>111</v>
      </c>
      <c r="C66" s="160">
        <f>ROUND('Kainos 2026-2028'!E137,2)</f>
        <v>46.37</v>
      </c>
      <c r="D66" s="152">
        <f>+$C$66*D56</f>
        <v>21.866948630136985</v>
      </c>
      <c r="E66" s="153">
        <f t="shared" ref="E66:AQ66" si="21">+$C$66*E56</f>
        <v>9.2485917808219185</v>
      </c>
      <c r="F66" s="153">
        <f t="shared" si="21"/>
        <v>7.1587657534246576</v>
      </c>
      <c r="G66" s="154">
        <f t="shared" si="21"/>
        <v>19.57703287671233</v>
      </c>
      <c r="H66" s="152">
        <f t="shared" si="21"/>
        <v>10.751487945205479</v>
      </c>
      <c r="I66" s="153">
        <f t="shared" si="21"/>
        <v>7.3099446575342464</v>
      </c>
      <c r="J66" s="153">
        <f t="shared" si="21"/>
        <v>8.3294494520547939</v>
      </c>
      <c r="K66" s="153">
        <f t="shared" si="21"/>
        <v>4.630647945205479</v>
      </c>
      <c r="L66" s="153">
        <f t="shared" si="21"/>
        <v>3.6035206849315067</v>
      </c>
      <c r="M66" s="153">
        <f t="shared" si="21"/>
        <v>2.8012561643835614</v>
      </c>
      <c r="N66" s="153">
        <f t="shared" si="21"/>
        <v>2.3038902739726028</v>
      </c>
      <c r="O66" s="153">
        <f t="shared" si="21"/>
        <v>2.7174090410958902</v>
      </c>
      <c r="P66" s="153">
        <f t="shared" si="21"/>
        <v>3.5444465753424654</v>
      </c>
      <c r="Q66" s="153">
        <f t="shared" si="21"/>
        <v>6.3209297260273978</v>
      </c>
      <c r="R66" s="153">
        <f t="shared" si="21"/>
        <v>7.7177465753424661</v>
      </c>
      <c r="S66" s="154">
        <f t="shared" si="21"/>
        <v>9.4518575342465763</v>
      </c>
      <c r="T66" s="152">
        <f t="shared" si="21"/>
        <v>0.69364438356164393</v>
      </c>
      <c r="U66" s="153">
        <f t="shared" si="21"/>
        <v>0.52213890410958919</v>
      </c>
      <c r="V66" s="153">
        <f t="shared" si="21"/>
        <v>0.53738383561643832</v>
      </c>
      <c r="W66" s="153">
        <f t="shared" si="21"/>
        <v>0.30870986301369868</v>
      </c>
      <c r="X66" s="153">
        <f t="shared" si="21"/>
        <v>0.23248520547945206</v>
      </c>
      <c r="Y66" s="153">
        <f t="shared" si="21"/>
        <v>0.1867504109589041</v>
      </c>
      <c r="Z66" s="153">
        <f t="shared" si="21"/>
        <v>0.14863808219178082</v>
      </c>
      <c r="AA66" s="153">
        <f t="shared" si="21"/>
        <v>0.17531671232876714</v>
      </c>
      <c r="AB66" s="153">
        <f t="shared" si="21"/>
        <v>0.2362964383561644</v>
      </c>
      <c r="AC66" s="153">
        <f t="shared" si="21"/>
        <v>0.40780191780821923</v>
      </c>
      <c r="AD66" s="153">
        <f t="shared" si="21"/>
        <v>0.51451643835616445</v>
      </c>
      <c r="AE66" s="154">
        <f t="shared" si="21"/>
        <v>0.60979726027397274</v>
      </c>
      <c r="AF66" s="155">
        <f t="shared" si="21"/>
        <v>0.69364438356164393</v>
      </c>
      <c r="AG66" s="153">
        <f t="shared" si="21"/>
        <v>0.52213890410958919</v>
      </c>
      <c r="AH66" s="153">
        <f t="shared" si="21"/>
        <v>0.53738383561643832</v>
      </c>
      <c r="AI66" s="153">
        <f t="shared" si="21"/>
        <v>0.30870986301369868</v>
      </c>
      <c r="AJ66" s="153">
        <f t="shared" si="21"/>
        <v>0.23248520547945206</v>
      </c>
      <c r="AK66" s="153">
        <f t="shared" si="21"/>
        <v>0.1867504109589041</v>
      </c>
      <c r="AL66" s="153">
        <f t="shared" si="21"/>
        <v>0.14863808219178082</v>
      </c>
      <c r="AM66" s="153">
        <f t="shared" si="21"/>
        <v>0.17531671232876714</v>
      </c>
      <c r="AN66" s="153">
        <f t="shared" si="21"/>
        <v>0.2362964383561644</v>
      </c>
      <c r="AO66" s="153">
        <f t="shared" si="21"/>
        <v>0.40780191780821923</v>
      </c>
      <c r="AP66" s="153">
        <f t="shared" si="21"/>
        <v>0.51451643835616445</v>
      </c>
      <c r="AQ66" s="202">
        <f t="shared" si="21"/>
        <v>0.60979726027397274</v>
      </c>
    </row>
    <row r="67" spans="2:43" ht="15.75" x14ac:dyDescent="0.25">
      <c r="B67" s="382" t="s">
        <v>126</v>
      </c>
      <c r="C67" s="383"/>
      <c r="D67" s="383"/>
      <c r="E67" s="383"/>
      <c r="F67" s="383"/>
      <c r="G67" s="383"/>
      <c r="H67" s="383"/>
      <c r="I67" s="383"/>
      <c r="J67" s="383"/>
      <c r="K67" s="383"/>
      <c r="L67" s="383"/>
      <c r="M67" s="383"/>
      <c r="N67" s="383"/>
      <c r="O67" s="383"/>
      <c r="P67" s="383"/>
      <c r="Q67" s="383"/>
      <c r="R67" s="383"/>
      <c r="S67" s="383"/>
      <c r="T67" s="383"/>
      <c r="U67" s="383"/>
      <c r="V67" s="383"/>
      <c r="W67" s="383"/>
      <c r="X67" s="383"/>
      <c r="Y67" s="383"/>
      <c r="Z67" s="383"/>
      <c r="AA67" s="383"/>
      <c r="AB67" s="383"/>
      <c r="AC67" s="383"/>
      <c r="AD67" s="383"/>
      <c r="AE67" s="383"/>
      <c r="AF67" s="383"/>
      <c r="AG67" s="383"/>
      <c r="AH67" s="383"/>
      <c r="AI67" s="383"/>
      <c r="AJ67" s="383"/>
      <c r="AK67" s="383"/>
      <c r="AL67" s="383"/>
      <c r="AM67" s="383"/>
      <c r="AN67" s="383"/>
      <c r="AO67" s="383"/>
      <c r="AP67" s="383"/>
      <c r="AQ67" s="384"/>
    </row>
    <row r="68" spans="2:43" ht="14.45" customHeight="1" x14ac:dyDescent="0.25">
      <c r="B68" s="190"/>
      <c r="C68" s="380" t="s">
        <v>112</v>
      </c>
      <c r="D68" s="376" t="s">
        <v>97</v>
      </c>
      <c r="E68" s="377"/>
      <c r="F68" s="377"/>
      <c r="G68" s="378"/>
      <c r="H68" s="376" t="s">
        <v>98</v>
      </c>
      <c r="I68" s="377"/>
      <c r="J68" s="377"/>
      <c r="K68" s="377"/>
      <c r="L68" s="377"/>
      <c r="M68" s="377"/>
      <c r="N68" s="377"/>
      <c r="O68" s="377"/>
      <c r="P68" s="377"/>
      <c r="Q68" s="377"/>
      <c r="R68" s="377"/>
      <c r="S68" s="378"/>
      <c r="T68" s="376" t="s">
        <v>99</v>
      </c>
      <c r="U68" s="377"/>
      <c r="V68" s="377"/>
      <c r="W68" s="377"/>
      <c r="X68" s="377"/>
      <c r="Y68" s="377"/>
      <c r="Z68" s="377"/>
      <c r="AA68" s="377"/>
      <c r="AB68" s="377"/>
      <c r="AC68" s="377"/>
      <c r="AD68" s="377"/>
      <c r="AE68" s="378"/>
      <c r="AF68" s="376" t="s">
        <v>100</v>
      </c>
      <c r="AG68" s="377"/>
      <c r="AH68" s="377"/>
      <c r="AI68" s="377"/>
      <c r="AJ68" s="377"/>
      <c r="AK68" s="377"/>
      <c r="AL68" s="377"/>
      <c r="AM68" s="377"/>
      <c r="AN68" s="377"/>
      <c r="AO68" s="377"/>
      <c r="AP68" s="377"/>
      <c r="AQ68" s="379"/>
    </row>
    <row r="69" spans="2:43" x14ac:dyDescent="0.25">
      <c r="B69" s="189" t="s">
        <v>113</v>
      </c>
      <c r="C69" s="381"/>
      <c r="D69" s="331" t="s">
        <v>9</v>
      </c>
      <c r="E69" s="332" t="s">
        <v>10</v>
      </c>
      <c r="F69" s="332" t="s">
        <v>11</v>
      </c>
      <c r="G69" s="333" t="s">
        <v>12</v>
      </c>
      <c r="H69" s="173" t="s">
        <v>35</v>
      </c>
      <c r="I69" s="165" t="s">
        <v>36</v>
      </c>
      <c r="J69" s="165" t="s">
        <v>37</v>
      </c>
      <c r="K69" s="165" t="s">
        <v>38</v>
      </c>
      <c r="L69" s="165" t="s">
        <v>39</v>
      </c>
      <c r="M69" s="165" t="s">
        <v>40</v>
      </c>
      <c r="N69" s="165" t="s">
        <v>41</v>
      </c>
      <c r="O69" s="165" t="s">
        <v>42</v>
      </c>
      <c r="P69" s="165" t="s">
        <v>43</v>
      </c>
      <c r="Q69" s="165" t="s">
        <v>44</v>
      </c>
      <c r="R69" s="165" t="s">
        <v>45</v>
      </c>
      <c r="S69" s="183" t="s">
        <v>46</v>
      </c>
      <c r="T69" s="173" t="s">
        <v>35</v>
      </c>
      <c r="U69" s="165" t="s">
        <v>36</v>
      </c>
      <c r="V69" s="165" t="s">
        <v>37</v>
      </c>
      <c r="W69" s="165" t="s">
        <v>38</v>
      </c>
      <c r="X69" s="165" t="s">
        <v>39</v>
      </c>
      <c r="Y69" s="165" t="s">
        <v>40</v>
      </c>
      <c r="Z69" s="165" t="s">
        <v>41</v>
      </c>
      <c r="AA69" s="165" t="s">
        <v>42</v>
      </c>
      <c r="AB69" s="165" t="s">
        <v>43</v>
      </c>
      <c r="AC69" s="165" t="s">
        <v>44</v>
      </c>
      <c r="AD69" s="165" t="s">
        <v>45</v>
      </c>
      <c r="AE69" s="183" t="s">
        <v>46</v>
      </c>
      <c r="AF69" s="174" t="s">
        <v>35</v>
      </c>
      <c r="AG69" s="165" t="s">
        <v>36</v>
      </c>
      <c r="AH69" s="165" t="s">
        <v>37</v>
      </c>
      <c r="AI69" s="165" t="s">
        <v>38</v>
      </c>
      <c r="AJ69" s="165" t="s">
        <v>39</v>
      </c>
      <c r="AK69" s="165" t="s">
        <v>40</v>
      </c>
      <c r="AL69" s="165" t="s">
        <v>41</v>
      </c>
      <c r="AM69" s="165" t="s">
        <v>42</v>
      </c>
      <c r="AN69" s="165" t="s">
        <v>43</v>
      </c>
      <c r="AO69" s="165" t="s">
        <v>44</v>
      </c>
      <c r="AP69" s="165" t="s">
        <v>45</v>
      </c>
      <c r="AQ69" s="334" t="s">
        <v>46</v>
      </c>
    </row>
    <row r="70" spans="2:43" x14ac:dyDescent="0.25">
      <c r="B70" s="189" t="s">
        <v>114</v>
      </c>
      <c r="C70" s="381"/>
      <c r="D70" s="149">
        <f>1/$C$12*D12*$D$22</f>
        <v>0.27349726775956285</v>
      </c>
      <c r="E70" s="142">
        <f>1/$C$12*E12*$D$22</f>
        <v>0.27349726775956285</v>
      </c>
      <c r="F70" s="142">
        <f>1/$C$12*F12*$D$22</f>
        <v>0.2765027322404372</v>
      </c>
      <c r="G70" s="142">
        <f>1/$C$12*G12*$D$22</f>
        <v>0.2765027322404372</v>
      </c>
      <c r="H70" s="149">
        <f t="shared" ref="H70:S70" si="22">1/$C$12*H12*$E$22</f>
        <v>0.1058743169398907</v>
      </c>
      <c r="I70" s="147">
        <f t="shared" si="22"/>
        <v>9.9043715846994534E-2</v>
      </c>
      <c r="J70" s="147">
        <f t="shared" si="22"/>
        <v>0.1058743169398907</v>
      </c>
      <c r="K70" s="147">
        <f t="shared" si="22"/>
        <v>0.10245901639344261</v>
      </c>
      <c r="L70" s="147">
        <f t="shared" si="22"/>
        <v>0.1058743169398907</v>
      </c>
      <c r="M70" s="147">
        <f t="shared" si="22"/>
        <v>0.10245901639344261</v>
      </c>
      <c r="N70" s="147">
        <f t="shared" si="22"/>
        <v>0.1058743169398907</v>
      </c>
      <c r="O70" s="147">
        <f t="shared" si="22"/>
        <v>0.1058743169398907</v>
      </c>
      <c r="P70" s="147">
        <f t="shared" si="22"/>
        <v>0.10245901639344261</v>
      </c>
      <c r="Q70" s="147">
        <f t="shared" si="22"/>
        <v>0.1058743169398907</v>
      </c>
      <c r="R70" s="147">
        <f t="shared" si="22"/>
        <v>0.10245901639344261</v>
      </c>
      <c r="S70" s="144">
        <f t="shared" si="22"/>
        <v>0.1058743169398907</v>
      </c>
      <c r="T70" s="147">
        <f t="shared" ref="T70:AE70" si="23">1/$C$12*$F$22</f>
        <v>4.0983606557377051E-3</v>
      </c>
      <c r="U70" s="147">
        <f t="shared" si="23"/>
        <v>4.0983606557377051E-3</v>
      </c>
      <c r="V70" s="147">
        <f t="shared" si="23"/>
        <v>4.0983606557377051E-3</v>
      </c>
      <c r="W70" s="147">
        <f t="shared" si="23"/>
        <v>4.0983606557377051E-3</v>
      </c>
      <c r="X70" s="147">
        <f t="shared" si="23"/>
        <v>4.0983606557377051E-3</v>
      </c>
      <c r="Y70" s="147">
        <f t="shared" si="23"/>
        <v>4.0983606557377051E-3</v>
      </c>
      <c r="Z70" s="147">
        <f t="shared" si="23"/>
        <v>4.0983606557377051E-3</v>
      </c>
      <c r="AA70" s="147">
        <f t="shared" si="23"/>
        <v>4.0983606557377051E-3</v>
      </c>
      <c r="AB70" s="147">
        <f t="shared" si="23"/>
        <v>4.0983606557377051E-3</v>
      </c>
      <c r="AC70" s="147">
        <f t="shared" si="23"/>
        <v>4.0983606557377051E-3</v>
      </c>
      <c r="AD70" s="147">
        <f t="shared" si="23"/>
        <v>4.0983606557377051E-3</v>
      </c>
      <c r="AE70" s="144">
        <f t="shared" si="23"/>
        <v>4.0983606557377051E-3</v>
      </c>
      <c r="AF70" s="147">
        <f t="shared" ref="AF70:AQ70" si="24">1/$C$12*$G$22</f>
        <v>4.6448087431693987E-3</v>
      </c>
      <c r="AG70" s="147">
        <f t="shared" si="24"/>
        <v>4.6448087431693987E-3</v>
      </c>
      <c r="AH70" s="147">
        <f t="shared" si="24"/>
        <v>4.6448087431693987E-3</v>
      </c>
      <c r="AI70" s="147">
        <f t="shared" si="24"/>
        <v>4.6448087431693987E-3</v>
      </c>
      <c r="AJ70" s="147">
        <f t="shared" si="24"/>
        <v>4.6448087431693987E-3</v>
      </c>
      <c r="AK70" s="147">
        <f t="shared" si="24"/>
        <v>4.6448087431693987E-3</v>
      </c>
      <c r="AL70" s="147">
        <f t="shared" si="24"/>
        <v>4.6448087431693987E-3</v>
      </c>
      <c r="AM70" s="147">
        <f t="shared" si="24"/>
        <v>4.6448087431693987E-3</v>
      </c>
      <c r="AN70" s="147">
        <f t="shared" si="24"/>
        <v>4.6448087431693987E-3</v>
      </c>
      <c r="AO70" s="147">
        <f t="shared" si="24"/>
        <v>4.6448087431693987E-3</v>
      </c>
      <c r="AP70" s="147">
        <f t="shared" si="24"/>
        <v>4.6448087431693987E-3</v>
      </c>
      <c r="AQ70" s="200">
        <f t="shared" si="24"/>
        <v>4.6448087431693987E-3</v>
      </c>
    </row>
    <row r="71" spans="2:43" x14ac:dyDescent="0.25">
      <c r="B71" s="189" t="s">
        <v>115</v>
      </c>
      <c r="C71" s="381"/>
      <c r="D71" s="149">
        <f>1/$C$12*D12*$H$22</f>
        <v>0.27349726775956285</v>
      </c>
      <c r="E71" s="142">
        <f>1/$C$12*E12*$H$22</f>
        <v>0.27349726775956285</v>
      </c>
      <c r="F71" s="142">
        <f>1/$C$12*F12*$H$22</f>
        <v>0.2765027322404372</v>
      </c>
      <c r="G71" s="142">
        <f>1/$C$12*G12*$H$22</f>
        <v>0.2765027322404372</v>
      </c>
      <c r="H71" s="149">
        <f t="shared" ref="H71:S71" si="25">1/$C$12*H12*$I$22</f>
        <v>0.1058743169398907</v>
      </c>
      <c r="I71" s="147">
        <f t="shared" si="25"/>
        <v>9.9043715846994534E-2</v>
      </c>
      <c r="J71" s="147">
        <f t="shared" si="25"/>
        <v>0.1058743169398907</v>
      </c>
      <c r="K71" s="147">
        <f t="shared" si="25"/>
        <v>0.10245901639344261</v>
      </c>
      <c r="L71" s="147">
        <f t="shared" si="25"/>
        <v>0.1058743169398907</v>
      </c>
      <c r="M71" s="147">
        <f t="shared" si="25"/>
        <v>0.10245901639344261</v>
      </c>
      <c r="N71" s="147">
        <f t="shared" si="25"/>
        <v>0.1058743169398907</v>
      </c>
      <c r="O71" s="147">
        <f t="shared" si="25"/>
        <v>0.1058743169398907</v>
      </c>
      <c r="P71" s="147">
        <f t="shared" si="25"/>
        <v>0.10245901639344261</v>
      </c>
      <c r="Q71" s="147">
        <f t="shared" si="25"/>
        <v>0.1058743169398907</v>
      </c>
      <c r="R71" s="147">
        <f t="shared" si="25"/>
        <v>0.10245901639344261</v>
      </c>
      <c r="S71" s="144">
        <f t="shared" si="25"/>
        <v>0.1058743169398907</v>
      </c>
      <c r="T71" s="147">
        <f t="shared" ref="T71:AE71" si="26">1/$C$12*$J$22</f>
        <v>4.0983606557377051E-3</v>
      </c>
      <c r="U71" s="147">
        <f t="shared" si="26"/>
        <v>4.0983606557377051E-3</v>
      </c>
      <c r="V71" s="147">
        <f t="shared" si="26"/>
        <v>4.0983606557377051E-3</v>
      </c>
      <c r="W71" s="147">
        <f t="shared" si="26"/>
        <v>4.0983606557377051E-3</v>
      </c>
      <c r="X71" s="147">
        <f t="shared" si="26"/>
        <v>4.0983606557377051E-3</v>
      </c>
      <c r="Y71" s="147">
        <f t="shared" si="26"/>
        <v>4.0983606557377051E-3</v>
      </c>
      <c r="Z71" s="147">
        <f t="shared" si="26"/>
        <v>4.0983606557377051E-3</v>
      </c>
      <c r="AA71" s="147">
        <f t="shared" si="26"/>
        <v>4.0983606557377051E-3</v>
      </c>
      <c r="AB71" s="147">
        <f t="shared" si="26"/>
        <v>4.0983606557377051E-3</v>
      </c>
      <c r="AC71" s="147">
        <f t="shared" si="26"/>
        <v>4.0983606557377051E-3</v>
      </c>
      <c r="AD71" s="147">
        <f t="shared" si="26"/>
        <v>4.0983606557377051E-3</v>
      </c>
      <c r="AE71" s="144">
        <f t="shared" si="26"/>
        <v>4.0983606557377051E-3</v>
      </c>
      <c r="AF71" s="147">
        <f t="shared" ref="AF71:AQ71" si="27">1/$C$12*$K$22</f>
        <v>4.6448087431693987E-3</v>
      </c>
      <c r="AG71" s="147">
        <f t="shared" si="27"/>
        <v>4.6448087431693987E-3</v>
      </c>
      <c r="AH71" s="147">
        <f t="shared" si="27"/>
        <v>4.6448087431693987E-3</v>
      </c>
      <c r="AI71" s="147">
        <f t="shared" si="27"/>
        <v>4.6448087431693987E-3</v>
      </c>
      <c r="AJ71" s="147">
        <f t="shared" si="27"/>
        <v>4.6448087431693987E-3</v>
      </c>
      <c r="AK71" s="147">
        <f t="shared" si="27"/>
        <v>4.6448087431693987E-3</v>
      </c>
      <c r="AL71" s="147">
        <f t="shared" si="27"/>
        <v>4.6448087431693987E-3</v>
      </c>
      <c r="AM71" s="147">
        <f t="shared" si="27"/>
        <v>4.6448087431693987E-3</v>
      </c>
      <c r="AN71" s="147">
        <f t="shared" si="27"/>
        <v>4.6448087431693987E-3</v>
      </c>
      <c r="AO71" s="147">
        <f t="shared" si="27"/>
        <v>4.6448087431693987E-3</v>
      </c>
      <c r="AP71" s="147">
        <f t="shared" si="27"/>
        <v>4.6448087431693987E-3</v>
      </c>
      <c r="AQ71" s="200">
        <f t="shared" si="27"/>
        <v>4.6448087431693987E-3</v>
      </c>
    </row>
    <row r="72" spans="2:43" x14ac:dyDescent="0.25">
      <c r="B72" s="189" t="s">
        <v>116</v>
      </c>
      <c r="C72" s="381"/>
      <c r="D72" s="149">
        <f>1/$C$12*D12*$L$22*D43</f>
        <v>0.46618852459016391</v>
      </c>
      <c r="E72" s="142">
        <f>1/$C$12*E12*$L$22*E43</f>
        <v>0.21755464480874315</v>
      </c>
      <c r="F72" s="142">
        <f>1/$C$12*F12*$L$22*F43</f>
        <v>0.15396174863387979</v>
      </c>
      <c r="G72" s="142">
        <f>1/$C$12*G12*$L$22*G43</f>
        <v>0.41161202185792356</v>
      </c>
      <c r="H72" s="149">
        <f t="shared" ref="H72:S72" si="28">1/$C$12*H12*$M$22*H43</f>
        <v>0.21979508196721312</v>
      </c>
      <c r="I72" s="147">
        <f t="shared" si="28"/>
        <v>0.16163934426229509</v>
      </c>
      <c r="J72" s="147">
        <f t="shared" si="28"/>
        <v>0.1765983606557377</v>
      </c>
      <c r="K72" s="147">
        <f t="shared" si="28"/>
        <v>0.10942622950819672</v>
      </c>
      <c r="L72" s="147">
        <f t="shared" si="28"/>
        <v>8.8934426229508187E-2</v>
      </c>
      <c r="M72" s="147">
        <f t="shared" si="28"/>
        <v>6.5163934426229517E-2</v>
      </c>
      <c r="N72" s="147">
        <f t="shared" si="28"/>
        <v>5.463114754098361E-2</v>
      </c>
      <c r="O72" s="147">
        <f t="shared" si="28"/>
        <v>6.098360655737705E-2</v>
      </c>
      <c r="P72" s="147">
        <f t="shared" si="28"/>
        <v>6.8852459016393447E-2</v>
      </c>
      <c r="Q72" s="147">
        <f t="shared" si="28"/>
        <v>0.12450819672131147</v>
      </c>
      <c r="R72" s="147">
        <f t="shared" si="28"/>
        <v>0.15737704918032788</v>
      </c>
      <c r="S72" s="144">
        <f t="shared" si="28"/>
        <v>0.21090163934426229</v>
      </c>
      <c r="T72" s="147">
        <f t="shared" ref="T72:AE72" si="29">1/$C$12*$N$22*T43</f>
        <v>1.418032786885246E-2</v>
      </c>
      <c r="U72" s="147">
        <f t="shared" si="29"/>
        <v>1.1147540983606558E-2</v>
      </c>
      <c r="V72" s="147">
        <f t="shared" si="29"/>
        <v>1.139344262295082E-2</v>
      </c>
      <c r="W72" s="147">
        <f t="shared" si="29"/>
        <v>7.2950819672131153E-3</v>
      </c>
      <c r="X72" s="147">
        <f t="shared" si="29"/>
        <v>5.7377049180327867E-3</v>
      </c>
      <c r="Y72" s="147">
        <f t="shared" si="29"/>
        <v>4.3442622950819673E-3</v>
      </c>
      <c r="Z72" s="147">
        <f t="shared" si="29"/>
        <v>3.5245901639344266E-3</v>
      </c>
      <c r="AA72" s="147">
        <f t="shared" si="29"/>
        <v>3.9344262295081967E-3</v>
      </c>
      <c r="AB72" s="147">
        <f t="shared" si="29"/>
        <v>4.5901639344262304E-3</v>
      </c>
      <c r="AC72" s="147">
        <f t="shared" si="29"/>
        <v>8.0327868852459027E-3</v>
      </c>
      <c r="AD72" s="147">
        <f t="shared" si="29"/>
        <v>1.0491803278688525E-2</v>
      </c>
      <c r="AE72" s="144">
        <f t="shared" si="29"/>
        <v>1.360655737704918E-2</v>
      </c>
      <c r="AF72" s="147">
        <f t="shared" ref="AF72:AQ72" si="30">1/$C$12*$N$22*T43</f>
        <v>1.418032786885246E-2</v>
      </c>
      <c r="AG72" s="147">
        <f t="shared" si="30"/>
        <v>1.1147540983606558E-2</v>
      </c>
      <c r="AH72" s="147">
        <f t="shared" si="30"/>
        <v>1.139344262295082E-2</v>
      </c>
      <c r="AI72" s="147">
        <f t="shared" si="30"/>
        <v>7.2950819672131153E-3</v>
      </c>
      <c r="AJ72" s="147">
        <f t="shared" si="30"/>
        <v>5.7377049180327867E-3</v>
      </c>
      <c r="AK72" s="147">
        <f t="shared" si="30"/>
        <v>4.3442622950819673E-3</v>
      </c>
      <c r="AL72" s="147">
        <f t="shared" si="30"/>
        <v>3.5245901639344266E-3</v>
      </c>
      <c r="AM72" s="147">
        <f t="shared" si="30"/>
        <v>3.9344262295081967E-3</v>
      </c>
      <c r="AN72" s="147">
        <f t="shared" si="30"/>
        <v>4.5901639344262304E-3</v>
      </c>
      <c r="AO72" s="147">
        <f t="shared" si="30"/>
        <v>8.0327868852459027E-3</v>
      </c>
      <c r="AP72" s="147">
        <f t="shared" si="30"/>
        <v>1.0491803278688525E-2</v>
      </c>
      <c r="AQ72" s="200">
        <f t="shared" si="30"/>
        <v>1.360655737704918E-2</v>
      </c>
    </row>
    <row r="73" spans="2:43" x14ac:dyDescent="0.25">
      <c r="B73" s="189" t="s">
        <v>117</v>
      </c>
      <c r="C73" s="381"/>
      <c r="D73" s="149">
        <f>1/$C$12*D12*$L$22*D33</f>
        <v>0.46618852459016391</v>
      </c>
      <c r="E73" s="142">
        <f>1/$C$12*E12*$L$22*E33</f>
        <v>0.21755464480874315</v>
      </c>
      <c r="F73" s="142">
        <f>1/$C$12*F12*$L$22*F33</f>
        <v>0.15396174863387979</v>
      </c>
      <c r="G73" s="142">
        <f>1/$C$12*G12*$L$22*G33</f>
        <v>0.41161202185792356</v>
      </c>
      <c r="H73" s="149">
        <f t="shared" ref="H73:S73" si="31">1/$C$12*H12*$M$22*H33</f>
        <v>0.21979508196721312</v>
      </c>
      <c r="I73" s="147">
        <f t="shared" si="31"/>
        <v>0.16163934426229509</v>
      </c>
      <c r="J73" s="147">
        <f t="shared" si="31"/>
        <v>0.1765983606557377</v>
      </c>
      <c r="K73" s="147">
        <f t="shared" si="31"/>
        <v>0.10942622950819672</v>
      </c>
      <c r="L73" s="147">
        <f t="shared" si="31"/>
        <v>8.8934426229508187E-2</v>
      </c>
      <c r="M73" s="147">
        <f t="shared" si="31"/>
        <v>6.5163934426229517E-2</v>
      </c>
      <c r="N73" s="147">
        <f t="shared" si="31"/>
        <v>5.463114754098361E-2</v>
      </c>
      <c r="O73" s="147">
        <f t="shared" si="31"/>
        <v>6.098360655737705E-2</v>
      </c>
      <c r="P73" s="147">
        <f t="shared" si="31"/>
        <v>6.8852459016393447E-2</v>
      </c>
      <c r="Q73" s="147">
        <f t="shared" si="31"/>
        <v>0.12450819672131147</v>
      </c>
      <c r="R73" s="147">
        <f t="shared" si="31"/>
        <v>0.15737704918032788</v>
      </c>
      <c r="S73" s="144">
        <f t="shared" si="31"/>
        <v>0.21090163934426229</v>
      </c>
      <c r="T73" s="147">
        <f t="shared" ref="T73:AE73" si="32">1/$C$12*$N$22*T33</f>
        <v>1.418032786885246E-2</v>
      </c>
      <c r="U73" s="147">
        <f t="shared" si="32"/>
        <v>1.1147540983606558E-2</v>
      </c>
      <c r="V73" s="147">
        <f t="shared" si="32"/>
        <v>1.139344262295082E-2</v>
      </c>
      <c r="W73" s="147">
        <f t="shared" si="32"/>
        <v>7.2950819672131153E-3</v>
      </c>
      <c r="X73" s="147">
        <f t="shared" si="32"/>
        <v>5.7377049180327867E-3</v>
      </c>
      <c r="Y73" s="147">
        <f t="shared" si="32"/>
        <v>4.3442622950819673E-3</v>
      </c>
      <c r="Z73" s="147">
        <f t="shared" si="32"/>
        <v>3.5245901639344266E-3</v>
      </c>
      <c r="AA73" s="147">
        <f t="shared" si="32"/>
        <v>3.9344262295081967E-3</v>
      </c>
      <c r="AB73" s="147">
        <f t="shared" si="32"/>
        <v>4.5901639344262304E-3</v>
      </c>
      <c r="AC73" s="147">
        <f t="shared" si="32"/>
        <v>8.0327868852459027E-3</v>
      </c>
      <c r="AD73" s="147">
        <f t="shared" si="32"/>
        <v>1.0491803278688525E-2</v>
      </c>
      <c r="AE73" s="144">
        <f t="shared" si="32"/>
        <v>1.360655737704918E-2</v>
      </c>
      <c r="AF73" s="147">
        <f t="shared" ref="AF73:AQ73" si="33">1/$C$12*$N$22*T33</f>
        <v>1.418032786885246E-2</v>
      </c>
      <c r="AG73" s="147">
        <f t="shared" si="33"/>
        <v>1.1147540983606558E-2</v>
      </c>
      <c r="AH73" s="147">
        <f t="shared" si="33"/>
        <v>1.139344262295082E-2</v>
      </c>
      <c r="AI73" s="147">
        <f t="shared" si="33"/>
        <v>7.2950819672131153E-3</v>
      </c>
      <c r="AJ73" s="147">
        <f t="shared" si="33"/>
        <v>5.7377049180327867E-3</v>
      </c>
      <c r="AK73" s="147">
        <f t="shared" si="33"/>
        <v>4.3442622950819673E-3</v>
      </c>
      <c r="AL73" s="147">
        <f t="shared" si="33"/>
        <v>3.5245901639344266E-3</v>
      </c>
      <c r="AM73" s="147">
        <f t="shared" si="33"/>
        <v>3.9344262295081967E-3</v>
      </c>
      <c r="AN73" s="147">
        <f t="shared" si="33"/>
        <v>4.5901639344262304E-3</v>
      </c>
      <c r="AO73" s="147">
        <f t="shared" si="33"/>
        <v>8.0327868852459027E-3</v>
      </c>
      <c r="AP73" s="147">
        <f t="shared" si="33"/>
        <v>1.0491803278688525E-2</v>
      </c>
      <c r="AQ73" s="200">
        <f t="shared" si="33"/>
        <v>1.360655737704918E-2</v>
      </c>
    </row>
    <row r="74" spans="2:43" x14ac:dyDescent="0.25">
      <c r="B74" s="190" t="s">
        <v>101</v>
      </c>
      <c r="C74" s="159">
        <f>ROUND('Kainos 2026-2028'!F124,2)</f>
        <v>142.77000000000001</v>
      </c>
      <c r="D74" s="150">
        <f>$C$74*D70</f>
        <v>39.04720491803279</v>
      </c>
      <c r="E74" s="141">
        <f t="shared" ref="E74:AQ74" si="34">$C$74*E70</f>
        <v>39.04720491803279</v>
      </c>
      <c r="F74" s="141">
        <f t="shared" si="34"/>
        <v>39.476295081967223</v>
      </c>
      <c r="G74" s="145">
        <f t="shared" si="34"/>
        <v>39.476295081967223</v>
      </c>
      <c r="H74" s="150">
        <f t="shared" si="34"/>
        <v>15.115676229508196</v>
      </c>
      <c r="I74" s="141">
        <f t="shared" si="34"/>
        <v>14.140471311475411</v>
      </c>
      <c r="J74" s="141">
        <f t="shared" si="34"/>
        <v>15.115676229508196</v>
      </c>
      <c r="K74" s="141">
        <f t="shared" si="34"/>
        <v>14.628073770491802</v>
      </c>
      <c r="L74" s="141">
        <f t="shared" si="34"/>
        <v>15.115676229508196</v>
      </c>
      <c r="M74" s="141">
        <f t="shared" si="34"/>
        <v>14.628073770491802</v>
      </c>
      <c r="N74" s="141">
        <f t="shared" si="34"/>
        <v>15.115676229508196</v>
      </c>
      <c r="O74" s="141">
        <f t="shared" si="34"/>
        <v>15.115676229508196</v>
      </c>
      <c r="P74" s="141">
        <f t="shared" si="34"/>
        <v>14.628073770491802</v>
      </c>
      <c r="Q74" s="141">
        <f t="shared" si="34"/>
        <v>15.115676229508196</v>
      </c>
      <c r="R74" s="141">
        <f t="shared" si="34"/>
        <v>14.628073770491802</v>
      </c>
      <c r="S74" s="145">
        <f t="shared" si="34"/>
        <v>15.115676229508196</v>
      </c>
      <c r="T74" s="150">
        <f t="shared" si="34"/>
        <v>0.58512295081967225</v>
      </c>
      <c r="U74" s="141">
        <f t="shared" si="34"/>
        <v>0.58512295081967225</v>
      </c>
      <c r="V74" s="141">
        <f t="shared" si="34"/>
        <v>0.58512295081967225</v>
      </c>
      <c r="W74" s="141">
        <f t="shared" si="34"/>
        <v>0.58512295081967225</v>
      </c>
      <c r="X74" s="141">
        <f t="shared" si="34"/>
        <v>0.58512295081967225</v>
      </c>
      <c r="Y74" s="141">
        <f t="shared" si="34"/>
        <v>0.58512295081967225</v>
      </c>
      <c r="Z74" s="141">
        <f t="shared" si="34"/>
        <v>0.58512295081967225</v>
      </c>
      <c r="AA74" s="141">
        <f t="shared" si="34"/>
        <v>0.58512295081967225</v>
      </c>
      <c r="AB74" s="141">
        <f t="shared" si="34"/>
        <v>0.58512295081967225</v>
      </c>
      <c r="AC74" s="141">
        <f t="shared" si="34"/>
        <v>0.58512295081967225</v>
      </c>
      <c r="AD74" s="141">
        <f t="shared" si="34"/>
        <v>0.58512295081967225</v>
      </c>
      <c r="AE74" s="145">
        <f t="shared" si="34"/>
        <v>0.58512295081967225</v>
      </c>
      <c r="AF74" s="148">
        <f t="shared" si="34"/>
        <v>0.66313934426229515</v>
      </c>
      <c r="AG74" s="141">
        <f t="shared" si="34"/>
        <v>0.66313934426229515</v>
      </c>
      <c r="AH74" s="141">
        <f t="shared" si="34"/>
        <v>0.66313934426229515</v>
      </c>
      <c r="AI74" s="141">
        <f t="shared" si="34"/>
        <v>0.66313934426229515</v>
      </c>
      <c r="AJ74" s="141">
        <f t="shared" si="34"/>
        <v>0.66313934426229515</v>
      </c>
      <c r="AK74" s="141">
        <f t="shared" si="34"/>
        <v>0.66313934426229515</v>
      </c>
      <c r="AL74" s="141">
        <f t="shared" si="34"/>
        <v>0.66313934426229515</v>
      </c>
      <c r="AM74" s="141">
        <f t="shared" si="34"/>
        <v>0.66313934426229515</v>
      </c>
      <c r="AN74" s="141">
        <f t="shared" si="34"/>
        <v>0.66313934426229515</v>
      </c>
      <c r="AO74" s="141">
        <f t="shared" si="34"/>
        <v>0.66313934426229515</v>
      </c>
      <c r="AP74" s="141">
        <f t="shared" si="34"/>
        <v>0.66313934426229515</v>
      </c>
      <c r="AQ74" s="201">
        <f t="shared" si="34"/>
        <v>0.66313934426229515</v>
      </c>
    </row>
    <row r="75" spans="2:43" x14ac:dyDescent="0.25">
      <c r="B75" s="213" t="s">
        <v>102</v>
      </c>
      <c r="C75" s="159">
        <f>ROUND('Kainos 2026-2028'!F125,2)</f>
        <v>142.77000000000001</v>
      </c>
      <c r="D75" s="150">
        <f>$C$74*D71</f>
        <v>39.04720491803279</v>
      </c>
      <c r="E75" s="141">
        <f>$C$74*E71</f>
        <v>39.04720491803279</v>
      </c>
      <c r="F75" s="141">
        <f t="shared" ref="F75:AQ75" si="35">$C$74*F71</f>
        <v>39.476295081967223</v>
      </c>
      <c r="G75" s="145">
        <f t="shared" si="35"/>
        <v>39.476295081967223</v>
      </c>
      <c r="H75" s="141">
        <f t="shared" si="35"/>
        <v>15.115676229508196</v>
      </c>
      <c r="I75" s="141">
        <f t="shared" si="35"/>
        <v>14.140471311475411</v>
      </c>
      <c r="J75" s="141">
        <f t="shared" si="35"/>
        <v>15.115676229508196</v>
      </c>
      <c r="K75" s="141">
        <f t="shared" si="35"/>
        <v>14.628073770491802</v>
      </c>
      <c r="L75" s="141">
        <f t="shared" si="35"/>
        <v>15.115676229508196</v>
      </c>
      <c r="M75" s="141">
        <f t="shared" si="35"/>
        <v>14.628073770491802</v>
      </c>
      <c r="N75" s="141">
        <f t="shared" si="35"/>
        <v>15.115676229508196</v>
      </c>
      <c r="O75" s="141">
        <f t="shared" si="35"/>
        <v>15.115676229508196</v>
      </c>
      <c r="P75" s="141">
        <f t="shared" si="35"/>
        <v>14.628073770491802</v>
      </c>
      <c r="Q75" s="141">
        <f t="shared" si="35"/>
        <v>15.115676229508196</v>
      </c>
      <c r="R75" s="141">
        <f t="shared" si="35"/>
        <v>14.628073770491802</v>
      </c>
      <c r="S75" s="145">
        <f t="shared" si="35"/>
        <v>15.115676229508196</v>
      </c>
      <c r="T75" s="141">
        <f t="shared" si="35"/>
        <v>0.58512295081967225</v>
      </c>
      <c r="U75" s="141">
        <f t="shared" si="35"/>
        <v>0.58512295081967225</v>
      </c>
      <c r="V75" s="141">
        <f t="shared" si="35"/>
        <v>0.58512295081967225</v>
      </c>
      <c r="W75" s="141">
        <f t="shared" si="35"/>
        <v>0.58512295081967225</v>
      </c>
      <c r="X75" s="141">
        <f t="shared" si="35"/>
        <v>0.58512295081967225</v>
      </c>
      <c r="Y75" s="141">
        <f t="shared" si="35"/>
        <v>0.58512295081967225</v>
      </c>
      <c r="Z75" s="141">
        <f t="shared" si="35"/>
        <v>0.58512295081967225</v>
      </c>
      <c r="AA75" s="141">
        <f t="shared" si="35"/>
        <v>0.58512295081967225</v>
      </c>
      <c r="AB75" s="141">
        <f t="shared" si="35"/>
        <v>0.58512295081967225</v>
      </c>
      <c r="AC75" s="141">
        <f t="shared" si="35"/>
        <v>0.58512295081967225</v>
      </c>
      <c r="AD75" s="141">
        <f t="shared" si="35"/>
        <v>0.58512295081967225</v>
      </c>
      <c r="AE75" s="145">
        <f t="shared" si="35"/>
        <v>0.58512295081967225</v>
      </c>
      <c r="AF75" s="141">
        <f t="shared" si="35"/>
        <v>0.66313934426229515</v>
      </c>
      <c r="AG75" s="141">
        <f t="shared" si="35"/>
        <v>0.66313934426229515</v>
      </c>
      <c r="AH75" s="141">
        <f t="shared" si="35"/>
        <v>0.66313934426229515</v>
      </c>
      <c r="AI75" s="141">
        <f t="shared" si="35"/>
        <v>0.66313934426229515</v>
      </c>
      <c r="AJ75" s="141">
        <f t="shared" si="35"/>
        <v>0.66313934426229515</v>
      </c>
      <c r="AK75" s="141">
        <f t="shared" si="35"/>
        <v>0.66313934426229515</v>
      </c>
      <c r="AL75" s="141">
        <f t="shared" si="35"/>
        <v>0.66313934426229515</v>
      </c>
      <c r="AM75" s="141">
        <f t="shared" si="35"/>
        <v>0.66313934426229515</v>
      </c>
      <c r="AN75" s="141">
        <f t="shared" si="35"/>
        <v>0.66313934426229515</v>
      </c>
      <c r="AO75" s="141">
        <f t="shared" si="35"/>
        <v>0.66313934426229515</v>
      </c>
      <c r="AP75" s="141">
        <f t="shared" si="35"/>
        <v>0.66313934426229515</v>
      </c>
      <c r="AQ75" s="201">
        <f t="shared" si="35"/>
        <v>0.66313934426229515</v>
      </c>
    </row>
    <row r="76" spans="2:43" x14ac:dyDescent="0.25">
      <c r="B76" s="190" t="s">
        <v>124</v>
      </c>
      <c r="C76" s="159">
        <f>ROUND('Kainos 2026-2028'!F126,2)</f>
        <v>35.96</v>
      </c>
      <c r="D76" s="150">
        <f>$C$76*D70</f>
        <v>9.8349617486338801</v>
      </c>
      <c r="E76" s="141">
        <f t="shared" ref="E76:AQ76" si="36">$C$76*E70</f>
        <v>9.8349617486338801</v>
      </c>
      <c r="F76" s="141">
        <f t="shared" si="36"/>
        <v>9.9430382513661222</v>
      </c>
      <c r="G76" s="145">
        <f t="shared" si="36"/>
        <v>9.9430382513661222</v>
      </c>
      <c r="H76" s="150">
        <f t="shared" si="36"/>
        <v>3.8072404371584696</v>
      </c>
      <c r="I76" s="141">
        <f t="shared" si="36"/>
        <v>3.5616120218579237</v>
      </c>
      <c r="J76" s="141">
        <f t="shared" si="36"/>
        <v>3.8072404371584696</v>
      </c>
      <c r="K76" s="141">
        <f t="shared" si="36"/>
        <v>3.6844262295081962</v>
      </c>
      <c r="L76" s="141">
        <f t="shared" si="36"/>
        <v>3.8072404371584696</v>
      </c>
      <c r="M76" s="141">
        <f t="shared" si="36"/>
        <v>3.6844262295081962</v>
      </c>
      <c r="N76" s="141">
        <f t="shared" si="36"/>
        <v>3.8072404371584696</v>
      </c>
      <c r="O76" s="141">
        <f t="shared" si="36"/>
        <v>3.8072404371584696</v>
      </c>
      <c r="P76" s="141">
        <f t="shared" si="36"/>
        <v>3.6844262295081962</v>
      </c>
      <c r="Q76" s="141">
        <f t="shared" si="36"/>
        <v>3.8072404371584696</v>
      </c>
      <c r="R76" s="141">
        <f t="shared" si="36"/>
        <v>3.6844262295081962</v>
      </c>
      <c r="S76" s="145">
        <f t="shared" si="36"/>
        <v>3.8072404371584696</v>
      </c>
      <c r="T76" s="150">
        <f>$C$76*T70</f>
        <v>0.14737704918032787</v>
      </c>
      <c r="U76" s="141">
        <f t="shared" si="36"/>
        <v>0.14737704918032787</v>
      </c>
      <c r="V76" s="141">
        <f t="shared" si="36"/>
        <v>0.14737704918032787</v>
      </c>
      <c r="W76" s="141">
        <f t="shared" si="36"/>
        <v>0.14737704918032787</v>
      </c>
      <c r="X76" s="141">
        <f t="shared" si="36"/>
        <v>0.14737704918032787</v>
      </c>
      <c r="Y76" s="141">
        <f t="shared" si="36"/>
        <v>0.14737704918032787</v>
      </c>
      <c r="Z76" s="141">
        <f t="shared" si="36"/>
        <v>0.14737704918032787</v>
      </c>
      <c r="AA76" s="141">
        <f t="shared" si="36"/>
        <v>0.14737704918032787</v>
      </c>
      <c r="AB76" s="141">
        <f t="shared" si="36"/>
        <v>0.14737704918032787</v>
      </c>
      <c r="AC76" s="141">
        <f t="shared" si="36"/>
        <v>0.14737704918032787</v>
      </c>
      <c r="AD76" s="141">
        <f t="shared" si="36"/>
        <v>0.14737704918032787</v>
      </c>
      <c r="AE76" s="145">
        <f t="shared" si="36"/>
        <v>0.14737704918032787</v>
      </c>
      <c r="AF76" s="148">
        <f t="shared" si="36"/>
        <v>0.16702732240437157</v>
      </c>
      <c r="AG76" s="141">
        <f t="shared" si="36"/>
        <v>0.16702732240437157</v>
      </c>
      <c r="AH76" s="141">
        <f t="shared" si="36"/>
        <v>0.16702732240437157</v>
      </c>
      <c r="AI76" s="141">
        <f t="shared" si="36"/>
        <v>0.16702732240437157</v>
      </c>
      <c r="AJ76" s="141">
        <f t="shared" si="36"/>
        <v>0.16702732240437157</v>
      </c>
      <c r="AK76" s="141">
        <f t="shared" si="36"/>
        <v>0.16702732240437157</v>
      </c>
      <c r="AL76" s="141">
        <f t="shared" si="36"/>
        <v>0.16702732240437157</v>
      </c>
      <c r="AM76" s="141">
        <f t="shared" si="36"/>
        <v>0.16702732240437157</v>
      </c>
      <c r="AN76" s="141">
        <f t="shared" si="36"/>
        <v>0.16702732240437157</v>
      </c>
      <c r="AO76" s="141">
        <f t="shared" si="36"/>
        <v>0.16702732240437157</v>
      </c>
      <c r="AP76" s="141">
        <f t="shared" si="36"/>
        <v>0.16702732240437157</v>
      </c>
      <c r="AQ76" s="201">
        <f t="shared" si="36"/>
        <v>0.16702732240437157</v>
      </c>
    </row>
    <row r="77" spans="2:43" x14ac:dyDescent="0.25">
      <c r="B77" s="190" t="s">
        <v>104</v>
      </c>
      <c r="C77" s="159">
        <f>ROUND('Kainos 2026-2028'!F127,2)</f>
        <v>142.77000000000001</v>
      </c>
      <c r="D77" s="150">
        <f>$C$77*D70</f>
        <v>39.04720491803279</v>
      </c>
      <c r="E77" s="141">
        <f t="shared" ref="E77:AQ77" si="37">$C$77*E70</f>
        <v>39.04720491803279</v>
      </c>
      <c r="F77" s="141">
        <f t="shared" si="37"/>
        <v>39.476295081967223</v>
      </c>
      <c r="G77" s="145">
        <f t="shared" si="37"/>
        <v>39.476295081967223</v>
      </c>
      <c r="H77" s="150">
        <f t="shared" si="37"/>
        <v>15.115676229508196</v>
      </c>
      <c r="I77" s="141">
        <f t="shared" si="37"/>
        <v>14.140471311475411</v>
      </c>
      <c r="J77" s="141">
        <f t="shared" si="37"/>
        <v>15.115676229508196</v>
      </c>
      <c r="K77" s="141">
        <f t="shared" si="37"/>
        <v>14.628073770491802</v>
      </c>
      <c r="L77" s="141">
        <f t="shared" si="37"/>
        <v>15.115676229508196</v>
      </c>
      <c r="M77" s="141">
        <f t="shared" si="37"/>
        <v>14.628073770491802</v>
      </c>
      <c r="N77" s="141">
        <f t="shared" si="37"/>
        <v>15.115676229508196</v>
      </c>
      <c r="O77" s="141">
        <f t="shared" si="37"/>
        <v>15.115676229508196</v>
      </c>
      <c r="P77" s="141">
        <f t="shared" si="37"/>
        <v>14.628073770491802</v>
      </c>
      <c r="Q77" s="141">
        <f t="shared" si="37"/>
        <v>15.115676229508196</v>
      </c>
      <c r="R77" s="141">
        <f t="shared" si="37"/>
        <v>14.628073770491802</v>
      </c>
      <c r="S77" s="145">
        <f t="shared" si="37"/>
        <v>15.115676229508196</v>
      </c>
      <c r="T77" s="150">
        <f t="shared" si="37"/>
        <v>0.58512295081967225</v>
      </c>
      <c r="U77" s="141">
        <f t="shared" si="37"/>
        <v>0.58512295081967225</v>
      </c>
      <c r="V77" s="141">
        <f t="shared" si="37"/>
        <v>0.58512295081967225</v>
      </c>
      <c r="W77" s="141">
        <f t="shared" si="37"/>
        <v>0.58512295081967225</v>
      </c>
      <c r="X77" s="141">
        <f t="shared" si="37"/>
        <v>0.58512295081967225</v>
      </c>
      <c r="Y77" s="141">
        <f t="shared" si="37"/>
        <v>0.58512295081967225</v>
      </c>
      <c r="Z77" s="141">
        <f t="shared" si="37"/>
        <v>0.58512295081967225</v>
      </c>
      <c r="AA77" s="141">
        <f t="shared" si="37"/>
        <v>0.58512295081967225</v>
      </c>
      <c r="AB77" s="141">
        <f t="shared" si="37"/>
        <v>0.58512295081967225</v>
      </c>
      <c r="AC77" s="141">
        <f t="shared" si="37"/>
        <v>0.58512295081967225</v>
      </c>
      <c r="AD77" s="141">
        <f t="shared" si="37"/>
        <v>0.58512295081967225</v>
      </c>
      <c r="AE77" s="145">
        <f t="shared" si="37"/>
        <v>0.58512295081967225</v>
      </c>
      <c r="AF77" s="148">
        <f t="shared" si="37"/>
        <v>0.66313934426229515</v>
      </c>
      <c r="AG77" s="141">
        <f t="shared" si="37"/>
        <v>0.66313934426229515</v>
      </c>
      <c r="AH77" s="141">
        <f t="shared" si="37"/>
        <v>0.66313934426229515</v>
      </c>
      <c r="AI77" s="141">
        <f t="shared" si="37"/>
        <v>0.66313934426229515</v>
      </c>
      <c r="AJ77" s="141">
        <f t="shared" si="37"/>
        <v>0.66313934426229515</v>
      </c>
      <c r="AK77" s="141">
        <f t="shared" si="37"/>
        <v>0.66313934426229515</v>
      </c>
      <c r="AL77" s="141">
        <f t="shared" si="37"/>
        <v>0.66313934426229515</v>
      </c>
      <c r="AM77" s="141">
        <f t="shared" si="37"/>
        <v>0.66313934426229515</v>
      </c>
      <c r="AN77" s="141">
        <f t="shared" si="37"/>
        <v>0.66313934426229515</v>
      </c>
      <c r="AO77" s="141">
        <f t="shared" si="37"/>
        <v>0.66313934426229515</v>
      </c>
      <c r="AP77" s="141">
        <f t="shared" si="37"/>
        <v>0.66313934426229515</v>
      </c>
      <c r="AQ77" s="201">
        <f t="shared" si="37"/>
        <v>0.66313934426229515</v>
      </c>
    </row>
    <row r="78" spans="2:43" x14ac:dyDescent="0.25">
      <c r="B78" s="190" t="s">
        <v>105</v>
      </c>
      <c r="C78" s="159">
        <f>ROUND('Kainos 2026-2028'!F128,2)</f>
        <v>142.77000000000001</v>
      </c>
      <c r="D78" s="150">
        <f>$C$78*D70</f>
        <v>39.04720491803279</v>
      </c>
      <c r="E78" s="141">
        <f t="shared" ref="E78:AQ78" si="38">$C$78*E70</f>
        <v>39.04720491803279</v>
      </c>
      <c r="F78" s="141">
        <f t="shared" si="38"/>
        <v>39.476295081967223</v>
      </c>
      <c r="G78" s="145">
        <f t="shared" si="38"/>
        <v>39.476295081967223</v>
      </c>
      <c r="H78" s="150">
        <f t="shared" si="38"/>
        <v>15.115676229508196</v>
      </c>
      <c r="I78" s="141">
        <f t="shared" si="38"/>
        <v>14.140471311475411</v>
      </c>
      <c r="J78" s="141">
        <f t="shared" si="38"/>
        <v>15.115676229508196</v>
      </c>
      <c r="K78" s="141">
        <f t="shared" si="38"/>
        <v>14.628073770491802</v>
      </c>
      <c r="L78" s="141">
        <f t="shared" si="38"/>
        <v>15.115676229508196</v>
      </c>
      <c r="M78" s="141">
        <f t="shared" si="38"/>
        <v>14.628073770491802</v>
      </c>
      <c r="N78" s="141">
        <f t="shared" si="38"/>
        <v>15.115676229508196</v>
      </c>
      <c r="O78" s="141">
        <f t="shared" si="38"/>
        <v>15.115676229508196</v>
      </c>
      <c r="P78" s="141">
        <f t="shared" si="38"/>
        <v>14.628073770491802</v>
      </c>
      <c r="Q78" s="141">
        <f t="shared" si="38"/>
        <v>15.115676229508196</v>
      </c>
      <c r="R78" s="141">
        <f t="shared" si="38"/>
        <v>14.628073770491802</v>
      </c>
      <c r="S78" s="145">
        <f t="shared" si="38"/>
        <v>15.115676229508196</v>
      </c>
      <c r="T78" s="150">
        <f>$C$78*T70</f>
        <v>0.58512295081967225</v>
      </c>
      <c r="U78" s="141">
        <f t="shared" si="38"/>
        <v>0.58512295081967225</v>
      </c>
      <c r="V78" s="141">
        <f t="shared" si="38"/>
        <v>0.58512295081967225</v>
      </c>
      <c r="W78" s="141">
        <f t="shared" si="38"/>
        <v>0.58512295081967225</v>
      </c>
      <c r="X78" s="141">
        <f t="shared" si="38"/>
        <v>0.58512295081967225</v>
      </c>
      <c r="Y78" s="141">
        <f t="shared" si="38"/>
        <v>0.58512295081967225</v>
      </c>
      <c r="Z78" s="141">
        <f t="shared" si="38"/>
        <v>0.58512295081967225</v>
      </c>
      <c r="AA78" s="141">
        <f t="shared" si="38"/>
        <v>0.58512295081967225</v>
      </c>
      <c r="AB78" s="141">
        <f t="shared" si="38"/>
        <v>0.58512295081967225</v>
      </c>
      <c r="AC78" s="141">
        <f t="shared" si="38"/>
        <v>0.58512295081967225</v>
      </c>
      <c r="AD78" s="141">
        <f t="shared" si="38"/>
        <v>0.58512295081967225</v>
      </c>
      <c r="AE78" s="145">
        <f t="shared" si="38"/>
        <v>0.58512295081967225</v>
      </c>
      <c r="AF78" s="148">
        <f t="shared" si="38"/>
        <v>0.66313934426229515</v>
      </c>
      <c r="AG78" s="141">
        <f t="shared" si="38"/>
        <v>0.66313934426229515</v>
      </c>
      <c r="AH78" s="141">
        <f t="shared" si="38"/>
        <v>0.66313934426229515</v>
      </c>
      <c r="AI78" s="141">
        <f t="shared" si="38"/>
        <v>0.66313934426229515</v>
      </c>
      <c r="AJ78" s="141">
        <f t="shared" si="38"/>
        <v>0.66313934426229515</v>
      </c>
      <c r="AK78" s="141">
        <f t="shared" si="38"/>
        <v>0.66313934426229515</v>
      </c>
      <c r="AL78" s="141">
        <f t="shared" si="38"/>
        <v>0.66313934426229515</v>
      </c>
      <c r="AM78" s="141">
        <f t="shared" si="38"/>
        <v>0.66313934426229515</v>
      </c>
      <c r="AN78" s="141">
        <f t="shared" si="38"/>
        <v>0.66313934426229515</v>
      </c>
      <c r="AO78" s="141">
        <f t="shared" si="38"/>
        <v>0.66313934426229515</v>
      </c>
      <c r="AP78" s="141">
        <f t="shared" si="38"/>
        <v>0.66313934426229515</v>
      </c>
      <c r="AQ78" s="201">
        <f t="shared" si="38"/>
        <v>0.66313934426229515</v>
      </c>
    </row>
    <row r="79" spans="2:43" x14ac:dyDescent="0.25">
      <c r="B79" s="190" t="s">
        <v>106</v>
      </c>
      <c r="C79" s="159">
        <f>ROUND('Kainos 2026-2028'!F129,2)</f>
        <v>142.77000000000001</v>
      </c>
      <c r="D79" s="150">
        <f>$C$79*D70</f>
        <v>39.04720491803279</v>
      </c>
      <c r="E79" s="141">
        <f t="shared" ref="E79:AQ79" si="39">$C$79*E70</f>
        <v>39.04720491803279</v>
      </c>
      <c r="F79" s="141">
        <f t="shared" si="39"/>
        <v>39.476295081967223</v>
      </c>
      <c r="G79" s="145">
        <f t="shared" si="39"/>
        <v>39.476295081967223</v>
      </c>
      <c r="H79" s="150">
        <f t="shared" si="39"/>
        <v>15.115676229508196</v>
      </c>
      <c r="I79" s="141">
        <f t="shared" si="39"/>
        <v>14.140471311475411</v>
      </c>
      <c r="J79" s="141">
        <f t="shared" si="39"/>
        <v>15.115676229508196</v>
      </c>
      <c r="K79" s="141">
        <f t="shared" si="39"/>
        <v>14.628073770491802</v>
      </c>
      <c r="L79" s="141">
        <f t="shared" si="39"/>
        <v>15.115676229508196</v>
      </c>
      <c r="M79" s="141">
        <f t="shared" si="39"/>
        <v>14.628073770491802</v>
      </c>
      <c r="N79" s="141">
        <f t="shared" si="39"/>
        <v>15.115676229508196</v>
      </c>
      <c r="O79" s="141">
        <f t="shared" si="39"/>
        <v>15.115676229508196</v>
      </c>
      <c r="P79" s="141">
        <f t="shared" si="39"/>
        <v>14.628073770491802</v>
      </c>
      <c r="Q79" s="141">
        <f t="shared" si="39"/>
        <v>15.115676229508196</v>
      </c>
      <c r="R79" s="141">
        <f t="shared" si="39"/>
        <v>14.628073770491802</v>
      </c>
      <c r="S79" s="145">
        <f t="shared" si="39"/>
        <v>15.115676229508196</v>
      </c>
      <c r="T79" s="150">
        <f t="shared" si="39"/>
        <v>0.58512295081967225</v>
      </c>
      <c r="U79" s="141">
        <f t="shared" si="39"/>
        <v>0.58512295081967225</v>
      </c>
      <c r="V79" s="141">
        <f t="shared" si="39"/>
        <v>0.58512295081967225</v>
      </c>
      <c r="W79" s="141">
        <f t="shared" si="39"/>
        <v>0.58512295081967225</v>
      </c>
      <c r="X79" s="141">
        <f t="shared" si="39"/>
        <v>0.58512295081967225</v>
      </c>
      <c r="Y79" s="141">
        <f t="shared" si="39"/>
        <v>0.58512295081967225</v>
      </c>
      <c r="Z79" s="141">
        <f t="shared" si="39"/>
        <v>0.58512295081967225</v>
      </c>
      <c r="AA79" s="141">
        <f t="shared" si="39"/>
        <v>0.58512295081967225</v>
      </c>
      <c r="AB79" s="141">
        <f t="shared" si="39"/>
        <v>0.58512295081967225</v>
      </c>
      <c r="AC79" s="141">
        <f t="shared" si="39"/>
        <v>0.58512295081967225</v>
      </c>
      <c r="AD79" s="141">
        <f t="shared" si="39"/>
        <v>0.58512295081967225</v>
      </c>
      <c r="AE79" s="145">
        <f t="shared" si="39"/>
        <v>0.58512295081967225</v>
      </c>
      <c r="AF79" s="148">
        <f t="shared" si="39"/>
        <v>0.66313934426229515</v>
      </c>
      <c r="AG79" s="141">
        <f t="shared" si="39"/>
        <v>0.66313934426229515</v>
      </c>
      <c r="AH79" s="141">
        <f t="shared" si="39"/>
        <v>0.66313934426229515</v>
      </c>
      <c r="AI79" s="141">
        <f t="shared" si="39"/>
        <v>0.66313934426229515</v>
      </c>
      <c r="AJ79" s="141">
        <f t="shared" si="39"/>
        <v>0.66313934426229515</v>
      </c>
      <c r="AK79" s="141">
        <f t="shared" si="39"/>
        <v>0.66313934426229515</v>
      </c>
      <c r="AL79" s="141">
        <f t="shared" si="39"/>
        <v>0.66313934426229515</v>
      </c>
      <c r="AM79" s="141">
        <f t="shared" si="39"/>
        <v>0.66313934426229515</v>
      </c>
      <c r="AN79" s="141">
        <f t="shared" si="39"/>
        <v>0.66313934426229515</v>
      </c>
      <c r="AO79" s="141">
        <f t="shared" si="39"/>
        <v>0.66313934426229515</v>
      </c>
      <c r="AP79" s="141">
        <f t="shared" si="39"/>
        <v>0.66313934426229515</v>
      </c>
      <c r="AQ79" s="201">
        <f t="shared" si="39"/>
        <v>0.66313934426229515</v>
      </c>
    </row>
    <row r="80" spans="2:43" x14ac:dyDescent="0.25">
      <c r="B80" s="190" t="s">
        <v>107</v>
      </c>
      <c r="C80" s="159">
        <f>ROUND('Kainos 2026-2028'!F130,2)</f>
        <v>109.27</v>
      </c>
      <c r="D80" s="150">
        <f>+$C$80*D71</f>
        <v>29.885046448087429</v>
      </c>
      <c r="E80" s="141">
        <f t="shared" ref="E80:AQ80" si="40">+$C$80*E71</f>
        <v>29.885046448087429</v>
      </c>
      <c r="F80" s="141">
        <f t="shared" si="40"/>
        <v>30.213453551912572</v>
      </c>
      <c r="G80" s="145">
        <f t="shared" si="40"/>
        <v>30.213453551912572</v>
      </c>
      <c r="H80" s="150">
        <f t="shared" si="40"/>
        <v>11.568886612021856</v>
      </c>
      <c r="I80" s="141">
        <f t="shared" si="40"/>
        <v>10.822506830601093</v>
      </c>
      <c r="J80" s="141">
        <f t="shared" si="40"/>
        <v>11.568886612021856</v>
      </c>
      <c r="K80" s="141">
        <f t="shared" si="40"/>
        <v>11.195696721311474</v>
      </c>
      <c r="L80" s="141">
        <f t="shared" si="40"/>
        <v>11.568886612021856</v>
      </c>
      <c r="M80" s="141">
        <f t="shared" si="40"/>
        <v>11.195696721311474</v>
      </c>
      <c r="N80" s="141">
        <f t="shared" si="40"/>
        <v>11.568886612021856</v>
      </c>
      <c r="O80" s="141">
        <f t="shared" si="40"/>
        <v>11.568886612021856</v>
      </c>
      <c r="P80" s="141">
        <f t="shared" si="40"/>
        <v>11.195696721311474</v>
      </c>
      <c r="Q80" s="141">
        <f t="shared" si="40"/>
        <v>11.568886612021856</v>
      </c>
      <c r="R80" s="141">
        <f t="shared" si="40"/>
        <v>11.195696721311474</v>
      </c>
      <c r="S80" s="145">
        <f t="shared" si="40"/>
        <v>11.568886612021856</v>
      </c>
      <c r="T80" s="150">
        <f t="shared" si="40"/>
        <v>0.44782786885245901</v>
      </c>
      <c r="U80" s="141">
        <f t="shared" si="40"/>
        <v>0.44782786885245901</v>
      </c>
      <c r="V80" s="141">
        <f t="shared" si="40"/>
        <v>0.44782786885245901</v>
      </c>
      <c r="W80" s="141">
        <f t="shared" si="40"/>
        <v>0.44782786885245901</v>
      </c>
      <c r="X80" s="141">
        <f t="shared" si="40"/>
        <v>0.44782786885245901</v>
      </c>
      <c r="Y80" s="141">
        <f t="shared" si="40"/>
        <v>0.44782786885245901</v>
      </c>
      <c r="Z80" s="141">
        <f t="shared" si="40"/>
        <v>0.44782786885245901</v>
      </c>
      <c r="AA80" s="141">
        <f t="shared" si="40"/>
        <v>0.44782786885245901</v>
      </c>
      <c r="AB80" s="141">
        <f t="shared" si="40"/>
        <v>0.44782786885245901</v>
      </c>
      <c r="AC80" s="141">
        <f t="shared" si="40"/>
        <v>0.44782786885245901</v>
      </c>
      <c r="AD80" s="141">
        <f t="shared" si="40"/>
        <v>0.44782786885245901</v>
      </c>
      <c r="AE80" s="145">
        <f t="shared" si="40"/>
        <v>0.44782786885245901</v>
      </c>
      <c r="AF80" s="148">
        <f t="shared" si="40"/>
        <v>0.50753825136612019</v>
      </c>
      <c r="AG80" s="141">
        <f t="shared" si="40"/>
        <v>0.50753825136612019</v>
      </c>
      <c r="AH80" s="141">
        <f t="shared" si="40"/>
        <v>0.50753825136612019</v>
      </c>
      <c r="AI80" s="141">
        <f t="shared" si="40"/>
        <v>0.50753825136612019</v>
      </c>
      <c r="AJ80" s="141">
        <f t="shared" si="40"/>
        <v>0.50753825136612019</v>
      </c>
      <c r="AK80" s="141">
        <f t="shared" si="40"/>
        <v>0.50753825136612019</v>
      </c>
      <c r="AL80" s="141">
        <f t="shared" si="40"/>
        <v>0.50753825136612019</v>
      </c>
      <c r="AM80" s="141">
        <f t="shared" si="40"/>
        <v>0.50753825136612019</v>
      </c>
      <c r="AN80" s="141">
        <f t="shared" si="40"/>
        <v>0.50753825136612019</v>
      </c>
      <c r="AO80" s="141">
        <f t="shared" si="40"/>
        <v>0.50753825136612019</v>
      </c>
      <c r="AP80" s="141">
        <f t="shared" si="40"/>
        <v>0.50753825136612019</v>
      </c>
      <c r="AQ80" s="201">
        <f t="shared" si="40"/>
        <v>0.50753825136612019</v>
      </c>
    </row>
    <row r="81" spans="2:48" x14ac:dyDescent="0.25">
      <c r="B81" s="190" t="s">
        <v>108</v>
      </c>
      <c r="C81" s="159">
        <f>ROUND('Kainos 2026-2028'!F131,2)</f>
        <v>40.549999999999997</v>
      </c>
      <c r="D81" s="150">
        <f>+$C$81*D72</f>
        <v>18.903944672131146</v>
      </c>
      <c r="E81" s="141">
        <f t="shared" ref="E81:AQ81" si="41">+$C$81*E72</f>
        <v>8.8218408469945349</v>
      </c>
      <c r="F81" s="141">
        <f t="shared" si="41"/>
        <v>6.2431489071038255</v>
      </c>
      <c r="G81" s="145">
        <f t="shared" si="41"/>
        <v>16.690867486338799</v>
      </c>
      <c r="H81" s="150">
        <f t="shared" si="41"/>
        <v>8.912690573770492</v>
      </c>
      <c r="I81" s="141">
        <f t="shared" si="41"/>
        <v>6.5544754098360656</v>
      </c>
      <c r="J81" s="141">
        <f t="shared" si="41"/>
        <v>7.1610635245901628</v>
      </c>
      <c r="K81" s="141">
        <f t="shared" si="41"/>
        <v>4.4372336065573768</v>
      </c>
      <c r="L81" s="141">
        <f t="shared" si="41"/>
        <v>3.6062909836065566</v>
      </c>
      <c r="M81" s="141">
        <f t="shared" si="41"/>
        <v>2.6423975409836067</v>
      </c>
      <c r="N81" s="141">
        <f t="shared" si="41"/>
        <v>2.2152930327868852</v>
      </c>
      <c r="O81" s="141">
        <f t="shared" si="41"/>
        <v>2.4728852459016393</v>
      </c>
      <c r="P81" s="141">
        <f t="shared" si="41"/>
        <v>2.7919672131147539</v>
      </c>
      <c r="Q81" s="141">
        <f t="shared" si="41"/>
        <v>5.0488073770491795</v>
      </c>
      <c r="R81" s="141">
        <f t="shared" si="41"/>
        <v>6.381639344262295</v>
      </c>
      <c r="S81" s="145">
        <f t="shared" si="41"/>
        <v>8.5520614754098343</v>
      </c>
      <c r="T81" s="150">
        <f t="shared" si="41"/>
        <v>0.57501229508196716</v>
      </c>
      <c r="U81" s="141">
        <f t="shared" si="41"/>
        <v>0.4520327868852459</v>
      </c>
      <c r="V81" s="141">
        <f t="shared" si="41"/>
        <v>0.4620040983606557</v>
      </c>
      <c r="W81" s="141">
        <f t="shared" si="41"/>
        <v>0.29581557377049178</v>
      </c>
      <c r="X81" s="141">
        <f t="shared" si="41"/>
        <v>0.23266393442622949</v>
      </c>
      <c r="Y81" s="141">
        <f t="shared" si="41"/>
        <v>0.17615983606557375</v>
      </c>
      <c r="Z81" s="141">
        <f t="shared" si="41"/>
        <v>0.14292213114754099</v>
      </c>
      <c r="AA81" s="141">
        <f t="shared" si="41"/>
        <v>0.15954098360655736</v>
      </c>
      <c r="AB81" s="141">
        <f t="shared" si="41"/>
        <v>0.18613114754098362</v>
      </c>
      <c r="AC81" s="141">
        <f t="shared" si="41"/>
        <v>0.32572950819672131</v>
      </c>
      <c r="AD81" s="141">
        <f t="shared" si="41"/>
        <v>0.42544262295081964</v>
      </c>
      <c r="AE81" s="145">
        <f t="shared" si="41"/>
        <v>0.55174590163934423</v>
      </c>
      <c r="AF81" s="148">
        <f t="shared" si="41"/>
        <v>0.57501229508196716</v>
      </c>
      <c r="AG81" s="141">
        <f t="shared" si="41"/>
        <v>0.4520327868852459</v>
      </c>
      <c r="AH81" s="141">
        <f t="shared" si="41"/>
        <v>0.4620040983606557</v>
      </c>
      <c r="AI81" s="141">
        <f t="shared" si="41"/>
        <v>0.29581557377049178</v>
      </c>
      <c r="AJ81" s="141">
        <f t="shared" si="41"/>
        <v>0.23266393442622949</v>
      </c>
      <c r="AK81" s="141">
        <f t="shared" si="41"/>
        <v>0.17615983606557375</v>
      </c>
      <c r="AL81" s="141">
        <f t="shared" si="41"/>
        <v>0.14292213114754099</v>
      </c>
      <c r="AM81" s="141">
        <f t="shared" si="41"/>
        <v>0.15954098360655736</v>
      </c>
      <c r="AN81" s="141">
        <f t="shared" si="41"/>
        <v>0.18613114754098362</v>
      </c>
      <c r="AO81" s="141">
        <f t="shared" si="41"/>
        <v>0.32572950819672131</v>
      </c>
      <c r="AP81" s="141">
        <f t="shared" si="41"/>
        <v>0.42544262295081964</v>
      </c>
      <c r="AQ81" s="201">
        <f t="shared" si="41"/>
        <v>0.55174590163934423</v>
      </c>
    </row>
    <row r="82" spans="2:48" x14ac:dyDescent="0.25">
      <c r="B82" s="190" t="s">
        <v>109</v>
      </c>
      <c r="C82" s="159">
        <f>ROUND('Kainos 2026-2028'!F132,2)</f>
        <v>109.27</v>
      </c>
      <c r="D82" s="150">
        <f>+$C$82*D71</f>
        <v>29.885046448087429</v>
      </c>
      <c r="E82" s="141">
        <f t="shared" ref="E82:AQ82" si="42">+$C$82*E71</f>
        <v>29.885046448087429</v>
      </c>
      <c r="F82" s="141">
        <f t="shared" si="42"/>
        <v>30.213453551912572</v>
      </c>
      <c r="G82" s="145">
        <f t="shared" si="42"/>
        <v>30.213453551912572</v>
      </c>
      <c r="H82" s="150">
        <f t="shared" si="42"/>
        <v>11.568886612021856</v>
      </c>
      <c r="I82" s="141">
        <f t="shared" si="42"/>
        <v>10.822506830601093</v>
      </c>
      <c r="J82" s="141">
        <f t="shared" si="42"/>
        <v>11.568886612021856</v>
      </c>
      <c r="K82" s="141">
        <f t="shared" si="42"/>
        <v>11.195696721311474</v>
      </c>
      <c r="L82" s="141">
        <f t="shared" si="42"/>
        <v>11.568886612021856</v>
      </c>
      <c r="M82" s="141">
        <f t="shared" si="42"/>
        <v>11.195696721311474</v>
      </c>
      <c r="N82" s="141">
        <f t="shared" si="42"/>
        <v>11.568886612021856</v>
      </c>
      <c r="O82" s="141">
        <f t="shared" si="42"/>
        <v>11.568886612021856</v>
      </c>
      <c r="P82" s="141">
        <f t="shared" si="42"/>
        <v>11.195696721311474</v>
      </c>
      <c r="Q82" s="141">
        <f t="shared" si="42"/>
        <v>11.568886612021856</v>
      </c>
      <c r="R82" s="141">
        <f t="shared" si="42"/>
        <v>11.195696721311474</v>
      </c>
      <c r="S82" s="145">
        <f t="shared" si="42"/>
        <v>11.568886612021856</v>
      </c>
      <c r="T82" s="150">
        <f t="shared" si="42"/>
        <v>0.44782786885245901</v>
      </c>
      <c r="U82" s="141">
        <f t="shared" si="42"/>
        <v>0.44782786885245901</v>
      </c>
      <c r="V82" s="141">
        <f t="shared" si="42"/>
        <v>0.44782786885245901</v>
      </c>
      <c r="W82" s="141">
        <f t="shared" si="42"/>
        <v>0.44782786885245901</v>
      </c>
      <c r="X82" s="141">
        <f t="shared" si="42"/>
        <v>0.44782786885245901</v>
      </c>
      <c r="Y82" s="141">
        <f t="shared" si="42"/>
        <v>0.44782786885245901</v>
      </c>
      <c r="Z82" s="141">
        <f t="shared" si="42"/>
        <v>0.44782786885245901</v>
      </c>
      <c r="AA82" s="141">
        <f t="shared" si="42"/>
        <v>0.44782786885245901</v>
      </c>
      <c r="AB82" s="141">
        <f t="shared" si="42"/>
        <v>0.44782786885245901</v>
      </c>
      <c r="AC82" s="141">
        <f t="shared" si="42"/>
        <v>0.44782786885245901</v>
      </c>
      <c r="AD82" s="141">
        <f t="shared" si="42"/>
        <v>0.44782786885245901</v>
      </c>
      <c r="AE82" s="145">
        <f t="shared" si="42"/>
        <v>0.44782786885245901</v>
      </c>
      <c r="AF82" s="148">
        <f t="shared" si="42"/>
        <v>0.50753825136612019</v>
      </c>
      <c r="AG82" s="141">
        <f t="shared" si="42"/>
        <v>0.50753825136612019</v>
      </c>
      <c r="AH82" s="141">
        <f t="shared" si="42"/>
        <v>0.50753825136612019</v>
      </c>
      <c r="AI82" s="141">
        <f t="shared" si="42"/>
        <v>0.50753825136612019</v>
      </c>
      <c r="AJ82" s="141">
        <f t="shared" si="42"/>
        <v>0.50753825136612019</v>
      </c>
      <c r="AK82" s="141">
        <f t="shared" si="42"/>
        <v>0.50753825136612019</v>
      </c>
      <c r="AL82" s="141">
        <f t="shared" si="42"/>
        <v>0.50753825136612019</v>
      </c>
      <c r="AM82" s="141">
        <f t="shared" si="42"/>
        <v>0.50753825136612019</v>
      </c>
      <c r="AN82" s="141">
        <f t="shared" si="42"/>
        <v>0.50753825136612019</v>
      </c>
      <c r="AO82" s="141">
        <f t="shared" si="42"/>
        <v>0.50753825136612019</v>
      </c>
      <c r="AP82" s="141">
        <f t="shared" si="42"/>
        <v>0.50753825136612019</v>
      </c>
      <c r="AQ82" s="201">
        <f t="shared" si="42"/>
        <v>0.50753825136612019</v>
      </c>
    </row>
    <row r="83" spans="2:48" x14ac:dyDescent="0.25">
      <c r="B83" s="190" t="s">
        <v>110</v>
      </c>
      <c r="C83" s="159">
        <f>ROUND('Kainos 2026-2028'!F136,2)</f>
        <v>107.93</v>
      </c>
      <c r="D83" s="150">
        <f>+$C$83*D73</f>
        <v>50.315727459016394</v>
      </c>
      <c r="E83" s="141">
        <f t="shared" ref="E83:AQ83" si="43">+$C$83*E73</f>
        <v>23.480672814207651</v>
      </c>
      <c r="F83" s="141">
        <f t="shared" si="43"/>
        <v>16.617091530054648</v>
      </c>
      <c r="G83" s="145">
        <f t="shared" si="43"/>
        <v>44.425285519125694</v>
      </c>
      <c r="H83" s="150">
        <f t="shared" si="43"/>
        <v>23.722483196721313</v>
      </c>
      <c r="I83" s="141">
        <f t="shared" si="43"/>
        <v>17.44573442622951</v>
      </c>
      <c r="J83" s="141">
        <f t="shared" si="43"/>
        <v>19.060261065573769</v>
      </c>
      <c r="K83" s="141">
        <f t="shared" si="43"/>
        <v>11.810372950819673</v>
      </c>
      <c r="L83" s="141">
        <f t="shared" si="43"/>
        <v>9.5986926229508196</v>
      </c>
      <c r="M83" s="141">
        <f t="shared" si="43"/>
        <v>7.0331434426229524</v>
      </c>
      <c r="N83" s="141">
        <f t="shared" si="43"/>
        <v>5.8963397540983618</v>
      </c>
      <c r="O83" s="141">
        <f t="shared" si="43"/>
        <v>6.5819606557377055</v>
      </c>
      <c r="P83" s="141">
        <f t="shared" si="43"/>
        <v>7.4312459016393451</v>
      </c>
      <c r="Q83" s="141">
        <f t="shared" si="43"/>
        <v>13.438169672131147</v>
      </c>
      <c r="R83" s="141">
        <f t="shared" si="43"/>
        <v>16.985704918032788</v>
      </c>
      <c r="S83" s="145">
        <f t="shared" si="43"/>
        <v>22.762613934426231</v>
      </c>
      <c r="T83" s="150">
        <f t="shared" si="43"/>
        <v>1.5304827868852462</v>
      </c>
      <c r="U83" s="141">
        <f t="shared" si="43"/>
        <v>1.2031540983606559</v>
      </c>
      <c r="V83" s="141">
        <f t="shared" si="43"/>
        <v>1.2296942622950819</v>
      </c>
      <c r="W83" s="141">
        <f t="shared" si="43"/>
        <v>0.78735819672131158</v>
      </c>
      <c r="X83" s="141">
        <f t="shared" si="43"/>
        <v>0.61927049180327876</v>
      </c>
      <c r="Y83" s="141">
        <f t="shared" si="43"/>
        <v>0.46887622950819674</v>
      </c>
      <c r="Z83" s="141">
        <f t="shared" si="43"/>
        <v>0.38040901639344266</v>
      </c>
      <c r="AA83" s="141">
        <f t="shared" si="43"/>
        <v>0.42464262295081973</v>
      </c>
      <c r="AB83" s="141">
        <f t="shared" si="43"/>
        <v>0.49541639344262306</v>
      </c>
      <c r="AC83" s="141">
        <f t="shared" si="43"/>
        <v>0.86697868852459037</v>
      </c>
      <c r="AD83" s="141">
        <f t="shared" si="43"/>
        <v>1.1323803278688525</v>
      </c>
      <c r="AE83" s="145">
        <f t="shared" si="43"/>
        <v>1.4685557377049181</v>
      </c>
      <c r="AF83" s="148">
        <f t="shared" si="43"/>
        <v>1.5304827868852462</v>
      </c>
      <c r="AG83" s="141">
        <f t="shared" si="43"/>
        <v>1.2031540983606559</v>
      </c>
      <c r="AH83" s="141">
        <f t="shared" si="43"/>
        <v>1.2296942622950819</v>
      </c>
      <c r="AI83" s="141">
        <f t="shared" si="43"/>
        <v>0.78735819672131158</v>
      </c>
      <c r="AJ83" s="141">
        <f t="shared" si="43"/>
        <v>0.61927049180327876</v>
      </c>
      <c r="AK83" s="141">
        <f t="shared" si="43"/>
        <v>0.46887622950819674</v>
      </c>
      <c r="AL83" s="141">
        <f t="shared" si="43"/>
        <v>0.38040901639344266</v>
      </c>
      <c r="AM83" s="141">
        <f t="shared" si="43"/>
        <v>0.42464262295081973</v>
      </c>
      <c r="AN83" s="141">
        <f t="shared" si="43"/>
        <v>0.49541639344262306</v>
      </c>
      <c r="AO83" s="141">
        <f t="shared" si="43"/>
        <v>0.86697868852459037</v>
      </c>
      <c r="AP83" s="141">
        <f t="shared" si="43"/>
        <v>1.1323803278688525</v>
      </c>
      <c r="AQ83" s="201">
        <f t="shared" si="43"/>
        <v>1.4685557377049181</v>
      </c>
    </row>
    <row r="84" spans="2:48" ht="15.75" thickBot="1" x14ac:dyDescent="0.3">
      <c r="B84" s="192" t="s">
        <v>111</v>
      </c>
      <c r="C84" s="203">
        <f>ROUND('Kainos 2026-2028'!F137,2)</f>
        <v>70.28</v>
      </c>
      <c r="D84" s="204">
        <f>+$C$84*D73</f>
        <v>32.763729508196718</v>
      </c>
      <c r="E84" s="205">
        <f t="shared" ref="E84:AQ84" si="44">+$C$84*E73</f>
        <v>15.289740437158468</v>
      </c>
      <c r="F84" s="205">
        <f t="shared" si="44"/>
        <v>10.820431693989072</v>
      </c>
      <c r="G84" s="206">
        <f t="shared" si="44"/>
        <v>28.928092896174867</v>
      </c>
      <c r="H84" s="204">
        <f t="shared" si="44"/>
        <v>15.447198360655738</v>
      </c>
      <c r="I84" s="205">
        <f t="shared" si="44"/>
        <v>11.3600131147541</v>
      </c>
      <c r="J84" s="205">
        <f t="shared" si="44"/>
        <v>12.411332786885245</v>
      </c>
      <c r="K84" s="205">
        <f t="shared" si="44"/>
        <v>7.6904754098360657</v>
      </c>
      <c r="L84" s="205">
        <f t="shared" si="44"/>
        <v>6.2503114754098359</v>
      </c>
      <c r="M84" s="205">
        <f t="shared" si="44"/>
        <v>4.5797213114754109</v>
      </c>
      <c r="N84" s="205">
        <f t="shared" si="44"/>
        <v>3.8394770491803283</v>
      </c>
      <c r="O84" s="205">
        <f t="shared" si="44"/>
        <v>4.2859278688524594</v>
      </c>
      <c r="P84" s="205">
        <f t="shared" si="44"/>
        <v>4.8389508196721316</v>
      </c>
      <c r="Q84" s="205">
        <f t="shared" si="44"/>
        <v>8.750436065573771</v>
      </c>
      <c r="R84" s="205">
        <f t="shared" si="44"/>
        <v>11.060459016393445</v>
      </c>
      <c r="S84" s="206">
        <f t="shared" si="44"/>
        <v>14.822167213114755</v>
      </c>
      <c r="T84" s="204">
        <f t="shared" si="44"/>
        <v>0.99659344262295091</v>
      </c>
      <c r="U84" s="205">
        <f t="shared" si="44"/>
        <v>0.78344918032786892</v>
      </c>
      <c r="V84" s="205">
        <f t="shared" si="44"/>
        <v>0.80073114754098362</v>
      </c>
      <c r="W84" s="205">
        <f t="shared" si="44"/>
        <v>0.51269836065573771</v>
      </c>
      <c r="X84" s="205">
        <f t="shared" si="44"/>
        <v>0.40324590163934426</v>
      </c>
      <c r="Y84" s="205">
        <f t="shared" si="44"/>
        <v>0.30531475409836067</v>
      </c>
      <c r="Z84" s="205">
        <f t="shared" si="44"/>
        <v>0.2477081967213115</v>
      </c>
      <c r="AA84" s="205">
        <f t="shared" si="44"/>
        <v>0.27651147540983606</v>
      </c>
      <c r="AB84" s="205">
        <f>+$C$84*AB73</f>
        <v>0.32259672131147549</v>
      </c>
      <c r="AC84" s="205">
        <f t="shared" si="44"/>
        <v>0.56454426229508203</v>
      </c>
      <c r="AD84" s="205">
        <f t="shared" si="44"/>
        <v>0.73736393442622949</v>
      </c>
      <c r="AE84" s="206">
        <f t="shared" si="44"/>
        <v>0.95626885245901638</v>
      </c>
      <c r="AF84" s="207">
        <f t="shared" si="44"/>
        <v>0.99659344262295091</v>
      </c>
      <c r="AG84" s="205">
        <f t="shared" si="44"/>
        <v>0.78344918032786892</v>
      </c>
      <c r="AH84" s="205">
        <f t="shared" si="44"/>
        <v>0.80073114754098362</v>
      </c>
      <c r="AI84" s="205">
        <f t="shared" si="44"/>
        <v>0.51269836065573771</v>
      </c>
      <c r="AJ84" s="205">
        <f t="shared" si="44"/>
        <v>0.40324590163934426</v>
      </c>
      <c r="AK84" s="205">
        <f t="shared" si="44"/>
        <v>0.30531475409836067</v>
      </c>
      <c r="AL84" s="205">
        <f t="shared" si="44"/>
        <v>0.2477081967213115</v>
      </c>
      <c r="AM84" s="205">
        <f t="shared" si="44"/>
        <v>0.27651147540983606</v>
      </c>
      <c r="AN84" s="205">
        <f t="shared" si="44"/>
        <v>0.32259672131147549</v>
      </c>
      <c r="AO84" s="205">
        <f t="shared" si="44"/>
        <v>0.56454426229508203</v>
      </c>
      <c r="AP84" s="205">
        <f t="shared" si="44"/>
        <v>0.73736393442622949</v>
      </c>
      <c r="AQ84" s="208">
        <f t="shared" si="44"/>
        <v>0.95626885245901638</v>
      </c>
    </row>
    <row r="85" spans="2:48" ht="15.75" x14ac:dyDescent="0.25">
      <c r="B85" s="382" t="s">
        <v>127</v>
      </c>
      <c r="C85" s="383"/>
      <c r="D85" s="383"/>
      <c r="E85" s="383"/>
      <c r="F85" s="383"/>
      <c r="G85" s="383"/>
      <c r="H85" s="383"/>
      <c r="I85" s="383"/>
      <c r="J85" s="383"/>
      <c r="K85" s="383"/>
      <c r="L85" s="383"/>
      <c r="M85" s="383"/>
      <c r="N85" s="383"/>
      <c r="O85" s="383"/>
      <c r="P85" s="383"/>
      <c r="Q85" s="383"/>
      <c r="R85" s="383"/>
      <c r="S85" s="383"/>
      <c r="T85" s="383"/>
      <c r="U85" s="383"/>
      <c r="V85" s="383"/>
      <c r="W85" s="383"/>
      <c r="X85" s="383"/>
      <c r="Y85" s="383"/>
      <c r="Z85" s="383"/>
      <c r="AA85" s="383"/>
      <c r="AB85" s="383"/>
      <c r="AC85" s="383"/>
      <c r="AD85" s="383"/>
      <c r="AE85" s="383"/>
      <c r="AF85" s="383"/>
      <c r="AG85" s="383"/>
      <c r="AH85" s="383"/>
      <c r="AI85" s="383"/>
      <c r="AJ85" s="383"/>
      <c r="AK85" s="383"/>
      <c r="AL85" s="383"/>
      <c r="AM85" s="383"/>
      <c r="AN85" s="383"/>
      <c r="AO85" s="383"/>
      <c r="AP85" s="383"/>
      <c r="AQ85" s="384"/>
    </row>
    <row r="86" spans="2:48" ht="14.45" customHeight="1" x14ac:dyDescent="0.25">
      <c r="B86" s="190"/>
      <c r="C86" s="380" t="s">
        <v>112</v>
      </c>
      <c r="D86" s="376" t="s">
        <v>97</v>
      </c>
      <c r="E86" s="377"/>
      <c r="F86" s="377"/>
      <c r="G86" s="378"/>
      <c r="H86" s="376" t="s">
        <v>98</v>
      </c>
      <c r="I86" s="377"/>
      <c r="J86" s="377"/>
      <c r="K86" s="377"/>
      <c r="L86" s="377"/>
      <c r="M86" s="377"/>
      <c r="N86" s="377"/>
      <c r="O86" s="377"/>
      <c r="P86" s="377"/>
      <c r="Q86" s="377"/>
      <c r="R86" s="377"/>
      <c r="S86" s="378"/>
      <c r="T86" s="376" t="s">
        <v>99</v>
      </c>
      <c r="U86" s="377"/>
      <c r="V86" s="377"/>
      <c r="W86" s="377"/>
      <c r="X86" s="377"/>
      <c r="Y86" s="377"/>
      <c r="Z86" s="377"/>
      <c r="AA86" s="377"/>
      <c r="AB86" s="377"/>
      <c r="AC86" s="377"/>
      <c r="AD86" s="377"/>
      <c r="AE86" s="378"/>
      <c r="AF86" s="376" t="s">
        <v>100</v>
      </c>
      <c r="AG86" s="377"/>
      <c r="AH86" s="377"/>
      <c r="AI86" s="377"/>
      <c r="AJ86" s="377"/>
      <c r="AK86" s="377"/>
      <c r="AL86" s="377"/>
      <c r="AM86" s="377"/>
      <c r="AN86" s="377"/>
      <c r="AO86" s="377"/>
      <c r="AP86" s="377"/>
      <c r="AQ86" s="379"/>
    </row>
    <row r="87" spans="2:48" x14ac:dyDescent="0.25">
      <c r="B87" s="189" t="s">
        <v>113</v>
      </c>
      <c r="C87" s="381"/>
      <c r="D87" s="331" t="s">
        <v>9</v>
      </c>
      <c r="E87" s="332" t="s">
        <v>10</v>
      </c>
      <c r="F87" s="332" t="s">
        <v>11</v>
      </c>
      <c r="G87" s="333" t="s">
        <v>12</v>
      </c>
      <c r="H87" s="173" t="s">
        <v>35</v>
      </c>
      <c r="I87" s="165" t="s">
        <v>36</v>
      </c>
      <c r="J87" s="165" t="s">
        <v>37</v>
      </c>
      <c r="K87" s="165" t="s">
        <v>38</v>
      </c>
      <c r="L87" s="165" t="s">
        <v>39</v>
      </c>
      <c r="M87" s="165" t="s">
        <v>40</v>
      </c>
      <c r="N87" s="165" t="s">
        <v>41</v>
      </c>
      <c r="O87" s="165" t="s">
        <v>42</v>
      </c>
      <c r="P87" s="165" t="s">
        <v>43</v>
      </c>
      <c r="Q87" s="165" t="s">
        <v>44</v>
      </c>
      <c r="R87" s="165" t="s">
        <v>45</v>
      </c>
      <c r="S87" s="183" t="s">
        <v>46</v>
      </c>
      <c r="T87" s="173" t="s">
        <v>35</v>
      </c>
      <c r="U87" s="165" t="s">
        <v>36</v>
      </c>
      <c r="V87" s="165" t="s">
        <v>37</v>
      </c>
      <c r="W87" s="165" t="s">
        <v>38</v>
      </c>
      <c r="X87" s="165" t="s">
        <v>39</v>
      </c>
      <c r="Y87" s="165" t="s">
        <v>40</v>
      </c>
      <c r="Z87" s="165" t="s">
        <v>41</v>
      </c>
      <c r="AA87" s="165" t="s">
        <v>42</v>
      </c>
      <c r="AB87" s="165" t="s">
        <v>43</v>
      </c>
      <c r="AC87" s="165" t="s">
        <v>44</v>
      </c>
      <c r="AD87" s="165" t="s">
        <v>45</v>
      </c>
      <c r="AE87" s="183" t="s">
        <v>46</v>
      </c>
      <c r="AF87" s="174" t="s">
        <v>35</v>
      </c>
      <c r="AG87" s="165" t="s">
        <v>36</v>
      </c>
      <c r="AH87" s="165" t="s">
        <v>37</v>
      </c>
      <c r="AI87" s="165" t="s">
        <v>38</v>
      </c>
      <c r="AJ87" s="165" t="s">
        <v>39</v>
      </c>
      <c r="AK87" s="165" t="s">
        <v>40</v>
      </c>
      <c r="AL87" s="165" t="s">
        <v>41</v>
      </c>
      <c r="AM87" s="165" t="s">
        <v>42</v>
      </c>
      <c r="AN87" s="165" t="s">
        <v>43</v>
      </c>
      <c r="AO87" s="165" t="s">
        <v>44</v>
      </c>
      <c r="AP87" s="165" t="s">
        <v>45</v>
      </c>
      <c r="AQ87" s="334" t="s">
        <v>46</v>
      </c>
    </row>
    <row r="88" spans="2:48" x14ac:dyDescent="0.25">
      <c r="B88" s="189" t="s">
        <v>114</v>
      </c>
      <c r="C88" s="381"/>
      <c r="D88" s="149">
        <f>1/$C$13*D13*$D$23</f>
        <v>0.27123287671232882</v>
      </c>
      <c r="E88" s="142">
        <f>1/$C$13*E13*$D$23</f>
        <v>0.27424657534246577</v>
      </c>
      <c r="F88" s="142">
        <f>1/$C$13*F13*$D$23</f>
        <v>0.27726027397260278</v>
      </c>
      <c r="G88" s="142">
        <f>1/$C$13*G13*$D$23</f>
        <v>0.27726027397260278</v>
      </c>
      <c r="H88" s="149">
        <f t="shared" ref="H88:S88" si="45">1/$C$13*H13*$E$23</f>
        <v>0.10616438356164383</v>
      </c>
      <c r="I88" s="147">
        <f t="shared" si="45"/>
        <v>9.5890410958904118E-2</v>
      </c>
      <c r="J88" s="147">
        <f t="shared" si="45"/>
        <v>0.10616438356164383</v>
      </c>
      <c r="K88" s="147">
        <f t="shared" si="45"/>
        <v>0.10273972602739725</v>
      </c>
      <c r="L88" s="147">
        <f t="shared" si="45"/>
        <v>0.10616438356164383</v>
      </c>
      <c r="M88" s="147">
        <f t="shared" si="45"/>
        <v>0.10273972602739725</v>
      </c>
      <c r="N88" s="147">
        <f t="shared" si="45"/>
        <v>0.10616438356164383</v>
      </c>
      <c r="O88" s="147">
        <f t="shared" si="45"/>
        <v>0.10616438356164383</v>
      </c>
      <c r="P88" s="147">
        <f t="shared" si="45"/>
        <v>0.10273972602739725</v>
      </c>
      <c r="Q88" s="147">
        <f t="shared" si="45"/>
        <v>0.10616438356164383</v>
      </c>
      <c r="R88" s="147">
        <f t="shared" si="45"/>
        <v>0.10273972602739725</v>
      </c>
      <c r="S88" s="144">
        <f t="shared" si="45"/>
        <v>0.10616438356164383</v>
      </c>
      <c r="T88" s="147">
        <f t="shared" ref="T88:AE88" si="46">1/$C$13*$F$23</f>
        <v>4.1095890410958909E-3</v>
      </c>
      <c r="U88" s="147">
        <f t="shared" si="46"/>
        <v>4.1095890410958909E-3</v>
      </c>
      <c r="V88" s="147">
        <f t="shared" si="46"/>
        <v>4.1095890410958909E-3</v>
      </c>
      <c r="W88" s="147">
        <f t="shared" si="46"/>
        <v>4.1095890410958909E-3</v>
      </c>
      <c r="X88" s="147">
        <f t="shared" si="46"/>
        <v>4.1095890410958909E-3</v>
      </c>
      <c r="Y88" s="147">
        <f t="shared" si="46"/>
        <v>4.1095890410958909E-3</v>
      </c>
      <c r="Z88" s="147">
        <f t="shared" si="46"/>
        <v>4.1095890410958909E-3</v>
      </c>
      <c r="AA88" s="147">
        <f t="shared" si="46"/>
        <v>4.1095890410958909E-3</v>
      </c>
      <c r="AB88" s="147">
        <f t="shared" si="46"/>
        <v>4.1095890410958909E-3</v>
      </c>
      <c r="AC88" s="147">
        <f t="shared" si="46"/>
        <v>4.1095890410958909E-3</v>
      </c>
      <c r="AD88" s="147">
        <f t="shared" si="46"/>
        <v>4.1095890410958909E-3</v>
      </c>
      <c r="AE88" s="144">
        <f t="shared" si="46"/>
        <v>4.1095890410958909E-3</v>
      </c>
      <c r="AF88" s="147">
        <f t="shared" ref="AF88:AQ88" si="47">1/$C$13*$G$23</f>
        <v>4.6575342465753422E-3</v>
      </c>
      <c r="AG88" s="147">
        <f t="shared" si="47"/>
        <v>4.6575342465753422E-3</v>
      </c>
      <c r="AH88" s="147">
        <f t="shared" si="47"/>
        <v>4.6575342465753422E-3</v>
      </c>
      <c r="AI88" s="147">
        <f t="shared" si="47"/>
        <v>4.6575342465753422E-3</v>
      </c>
      <c r="AJ88" s="147">
        <f t="shared" si="47"/>
        <v>4.6575342465753422E-3</v>
      </c>
      <c r="AK88" s="147">
        <f t="shared" si="47"/>
        <v>4.6575342465753422E-3</v>
      </c>
      <c r="AL88" s="147">
        <f t="shared" si="47"/>
        <v>4.6575342465753422E-3</v>
      </c>
      <c r="AM88" s="147">
        <f t="shared" si="47"/>
        <v>4.6575342465753422E-3</v>
      </c>
      <c r="AN88" s="147">
        <f t="shared" si="47"/>
        <v>4.6575342465753422E-3</v>
      </c>
      <c r="AO88" s="147">
        <f t="shared" si="47"/>
        <v>4.6575342465753422E-3</v>
      </c>
      <c r="AP88" s="147">
        <f t="shared" si="47"/>
        <v>4.6575342465753422E-3</v>
      </c>
      <c r="AQ88" s="200">
        <f t="shared" si="47"/>
        <v>4.6575342465753422E-3</v>
      </c>
    </row>
    <row r="89" spans="2:48" x14ac:dyDescent="0.25">
      <c r="B89" s="189" t="s">
        <v>115</v>
      </c>
      <c r="C89" s="381"/>
      <c r="D89" s="149">
        <f>1/$C$13*D13*$H$23</f>
        <v>0.27123287671232882</v>
      </c>
      <c r="E89" s="142">
        <f>1/$C$13*E13*$H$23</f>
        <v>0.27424657534246577</v>
      </c>
      <c r="F89" s="142">
        <f>1/$C$13*F13*$H$23</f>
        <v>0.27726027397260278</v>
      </c>
      <c r="G89" s="142">
        <f>1/$C$13*G13*$H$23</f>
        <v>0.27726027397260278</v>
      </c>
      <c r="H89" s="149">
        <f t="shared" ref="H89:S89" si="48">1/$C$13*H13*$I$23</f>
        <v>0.10616438356164383</v>
      </c>
      <c r="I89" s="147">
        <f t="shared" si="48"/>
        <v>9.5890410958904118E-2</v>
      </c>
      <c r="J89" s="147">
        <f t="shared" si="48"/>
        <v>0.10616438356164383</v>
      </c>
      <c r="K89" s="147">
        <f t="shared" si="48"/>
        <v>0.10273972602739725</v>
      </c>
      <c r="L89" s="147">
        <f t="shared" si="48"/>
        <v>0.10616438356164383</v>
      </c>
      <c r="M89" s="147">
        <f t="shared" si="48"/>
        <v>0.10273972602739725</v>
      </c>
      <c r="N89" s="147">
        <f t="shared" si="48"/>
        <v>0.10616438356164383</v>
      </c>
      <c r="O89" s="147">
        <f t="shared" si="48"/>
        <v>0.10616438356164383</v>
      </c>
      <c r="P89" s="147">
        <f t="shared" si="48"/>
        <v>0.10273972602739725</v>
      </c>
      <c r="Q89" s="147">
        <f t="shared" si="48"/>
        <v>0.10616438356164383</v>
      </c>
      <c r="R89" s="147">
        <f t="shared" si="48"/>
        <v>0.10273972602739725</v>
      </c>
      <c r="S89" s="144">
        <f t="shared" si="48"/>
        <v>0.10616438356164383</v>
      </c>
      <c r="T89" s="147">
        <f t="shared" ref="T89:AE89" si="49">1/$C$13*$J$23</f>
        <v>4.1095890410958909E-3</v>
      </c>
      <c r="U89" s="147">
        <f t="shared" si="49"/>
        <v>4.1095890410958909E-3</v>
      </c>
      <c r="V89" s="147">
        <f t="shared" si="49"/>
        <v>4.1095890410958909E-3</v>
      </c>
      <c r="W89" s="147">
        <f t="shared" si="49"/>
        <v>4.1095890410958909E-3</v>
      </c>
      <c r="X89" s="147">
        <f t="shared" si="49"/>
        <v>4.1095890410958909E-3</v>
      </c>
      <c r="Y89" s="147">
        <f t="shared" si="49"/>
        <v>4.1095890410958909E-3</v>
      </c>
      <c r="Z89" s="147">
        <f t="shared" si="49"/>
        <v>4.1095890410958909E-3</v>
      </c>
      <c r="AA89" s="147">
        <f t="shared" si="49"/>
        <v>4.1095890410958909E-3</v>
      </c>
      <c r="AB89" s="147">
        <f t="shared" si="49"/>
        <v>4.1095890410958909E-3</v>
      </c>
      <c r="AC89" s="147">
        <f t="shared" si="49"/>
        <v>4.1095890410958909E-3</v>
      </c>
      <c r="AD89" s="147">
        <f t="shared" si="49"/>
        <v>4.1095890410958909E-3</v>
      </c>
      <c r="AE89" s="144">
        <f t="shared" si="49"/>
        <v>4.1095890410958909E-3</v>
      </c>
      <c r="AF89" s="147">
        <f t="shared" ref="AF89:AQ89" si="50">1/$C$13*$K$23</f>
        <v>4.6575342465753422E-3</v>
      </c>
      <c r="AG89" s="147">
        <f t="shared" si="50"/>
        <v>4.6575342465753422E-3</v>
      </c>
      <c r="AH89" s="147">
        <f t="shared" si="50"/>
        <v>4.6575342465753422E-3</v>
      </c>
      <c r="AI89" s="147">
        <f t="shared" si="50"/>
        <v>4.6575342465753422E-3</v>
      </c>
      <c r="AJ89" s="147">
        <f t="shared" si="50"/>
        <v>4.6575342465753422E-3</v>
      </c>
      <c r="AK89" s="147">
        <f t="shared" si="50"/>
        <v>4.6575342465753422E-3</v>
      </c>
      <c r="AL89" s="147">
        <f t="shared" si="50"/>
        <v>4.6575342465753422E-3</v>
      </c>
      <c r="AM89" s="147">
        <f t="shared" si="50"/>
        <v>4.6575342465753422E-3</v>
      </c>
      <c r="AN89" s="147">
        <f t="shared" si="50"/>
        <v>4.6575342465753422E-3</v>
      </c>
      <c r="AO89" s="147">
        <f t="shared" si="50"/>
        <v>4.6575342465753422E-3</v>
      </c>
      <c r="AP89" s="147">
        <f t="shared" si="50"/>
        <v>4.6575342465753422E-3</v>
      </c>
      <c r="AQ89" s="200">
        <f t="shared" si="50"/>
        <v>4.6575342465753422E-3</v>
      </c>
    </row>
    <row r="90" spans="2:48" x14ac:dyDescent="0.25">
      <c r="B90" s="189" t="s">
        <v>116</v>
      </c>
      <c r="C90" s="381"/>
      <c r="D90" s="149">
        <f>1/$C$13*D13*$L$23*D44</f>
        <v>0.46232876712328769</v>
      </c>
      <c r="E90" s="142">
        <f>1/$C$13*E13*$L$23*E44</f>
        <v>0.21815068493150686</v>
      </c>
      <c r="F90" s="142">
        <f>1/$C$13*F13*$L$23*F44</f>
        <v>0.15438356164383563</v>
      </c>
      <c r="G90" s="142">
        <f>1/$C$13*G13*$L$23*G44</f>
        <v>0.41273972602739734</v>
      </c>
      <c r="H90" s="149">
        <f t="shared" ref="H90:S90" si="51">1/$C$13*H13*$M$23*H44</f>
        <v>0.22039726027397261</v>
      </c>
      <c r="I90" s="147">
        <f t="shared" si="51"/>
        <v>0.15649315068493153</v>
      </c>
      <c r="J90" s="147">
        <f t="shared" si="51"/>
        <v>0.17708219178082191</v>
      </c>
      <c r="K90" s="147">
        <f t="shared" si="51"/>
        <v>0.10972602739726027</v>
      </c>
      <c r="L90" s="147">
        <f t="shared" si="51"/>
        <v>8.9178082191780819E-2</v>
      </c>
      <c r="M90" s="147">
        <f t="shared" si="51"/>
        <v>6.5342465753424658E-2</v>
      </c>
      <c r="N90" s="147">
        <f t="shared" si="51"/>
        <v>5.4780821917808219E-2</v>
      </c>
      <c r="O90" s="147">
        <f t="shared" si="51"/>
        <v>6.1150684931506848E-2</v>
      </c>
      <c r="P90" s="147">
        <f t="shared" si="51"/>
        <v>6.9041095890410964E-2</v>
      </c>
      <c r="Q90" s="147">
        <f t="shared" si="51"/>
        <v>0.12484931506849316</v>
      </c>
      <c r="R90" s="147">
        <f t="shared" si="51"/>
        <v>0.15780821917808219</v>
      </c>
      <c r="S90" s="144">
        <f t="shared" si="51"/>
        <v>0.21147945205479451</v>
      </c>
      <c r="T90" s="147">
        <f t="shared" ref="T90:AE90" si="52">1/$C$13*$N$23*T44</f>
        <v>1.4219178082191782E-2</v>
      </c>
      <c r="U90" s="147">
        <f t="shared" si="52"/>
        <v>1.1178082191780825E-2</v>
      </c>
      <c r="V90" s="147">
        <f t="shared" si="52"/>
        <v>1.1424657534246575E-2</v>
      </c>
      <c r="W90" s="147">
        <f t="shared" si="52"/>
        <v>7.3150684931506862E-3</v>
      </c>
      <c r="X90" s="147">
        <f t="shared" si="52"/>
        <v>5.7534246575342467E-3</v>
      </c>
      <c r="Y90" s="147">
        <f t="shared" si="52"/>
        <v>4.3561643835616443E-3</v>
      </c>
      <c r="Z90" s="147">
        <f t="shared" si="52"/>
        <v>3.5342465753424659E-3</v>
      </c>
      <c r="AA90" s="147">
        <f t="shared" si="52"/>
        <v>3.9452054794520547E-3</v>
      </c>
      <c r="AB90" s="147">
        <f t="shared" si="52"/>
        <v>4.6027397260273986E-3</v>
      </c>
      <c r="AC90" s="147">
        <f t="shared" si="52"/>
        <v>8.0547945205479456E-3</v>
      </c>
      <c r="AD90" s="147">
        <f t="shared" si="52"/>
        <v>1.0520547945205481E-2</v>
      </c>
      <c r="AE90" s="144">
        <f t="shared" si="52"/>
        <v>1.3643835616438357E-2</v>
      </c>
      <c r="AF90" s="147">
        <f t="shared" ref="AF90:AQ90" si="53">1/$C$13*$N$23*T44</f>
        <v>1.4219178082191782E-2</v>
      </c>
      <c r="AG90" s="147">
        <f t="shared" si="53"/>
        <v>1.1178082191780825E-2</v>
      </c>
      <c r="AH90" s="147">
        <f t="shared" si="53"/>
        <v>1.1424657534246575E-2</v>
      </c>
      <c r="AI90" s="147">
        <f t="shared" si="53"/>
        <v>7.3150684931506862E-3</v>
      </c>
      <c r="AJ90" s="147">
        <f t="shared" si="53"/>
        <v>5.7534246575342467E-3</v>
      </c>
      <c r="AK90" s="147">
        <f t="shared" si="53"/>
        <v>4.3561643835616443E-3</v>
      </c>
      <c r="AL90" s="147">
        <f t="shared" si="53"/>
        <v>3.5342465753424659E-3</v>
      </c>
      <c r="AM90" s="147">
        <f t="shared" si="53"/>
        <v>3.9452054794520547E-3</v>
      </c>
      <c r="AN90" s="147">
        <f t="shared" si="53"/>
        <v>4.6027397260273986E-3</v>
      </c>
      <c r="AO90" s="147">
        <f t="shared" si="53"/>
        <v>8.0547945205479456E-3</v>
      </c>
      <c r="AP90" s="147">
        <f t="shared" si="53"/>
        <v>1.0520547945205481E-2</v>
      </c>
      <c r="AQ90" s="200">
        <f t="shared" si="53"/>
        <v>1.3643835616438357E-2</v>
      </c>
    </row>
    <row r="91" spans="2:48" x14ac:dyDescent="0.25">
      <c r="B91" s="189" t="s">
        <v>117</v>
      </c>
      <c r="C91" s="381"/>
      <c r="D91" s="149">
        <f>1/$C$13*D13*$L$23*D34</f>
        <v>0.46232876712328769</v>
      </c>
      <c r="E91" s="142">
        <f>1/$C$13*E13*$L$23*E34</f>
        <v>0.21815068493150686</v>
      </c>
      <c r="F91" s="142">
        <f>1/$C$13*F13*$L$23*F34</f>
        <v>0.15438356164383563</v>
      </c>
      <c r="G91" s="142">
        <f>1/$C$13*G13*$L$23*G34</f>
        <v>0.41273972602739734</v>
      </c>
      <c r="H91" s="149">
        <f t="shared" ref="H91:S91" si="54">1/$C$13*H13*$M$23*H34</f>
        <v>0.22039726027397261</v>
      </c>
      <c r="I91" s="147">
        <f t="shared" si="54"/>
        <v>0.15649315068493153</v>
      </c>
      <c r="J91" s="147">
        <f t="shared" si="54"/>
        <v>0.17708219178082191</v>
      </c>
      <c r="K91" s="147">
        <f t="shared" si="54"/>
        <v>0.10972602739726027</v>
      </c>
      <c r="L91" s="147">
        <f t="shared" si="54"/>
        <v>8.9178082191780819E-2</v>
      </c>
      <c r="M91" s="147">
        <f t="shared" si="54"/>
        <v>6.5342465753424658E-2</v>
      </c>
      <c r="N91" s="147">
        <f t="shared" si="54"/>
        <v>5.4780821917808219E-2</v>
      </c>
      <c r="O91" s="147">
        <f t="shared" si="54"/>
        <v>6.1150684931506848E-2</v>
      </c>
      <c r="P91" s="147">
        <f t="shared" si="54"/>
        <v>6.9041095890410964E-2</v>
      </c>
      <c r="Q91" s="147">
        <f t="shared" si="54"/>
        <v>0.12484931506849316</v>
      </c>
      <c r="R91" s="147">
        <f t="shared" si="54"/>
        <v>0.15780821917808219</v>
      </c>
      <c r="S91" s="144">
        <f t="shared" si="54"/>
        <v>0.21147945205479451</v>
      </c>
      <c r="T91" s="147">
        <f t="shared" ref="T91:AE91" si="55">1/$C$13*$N$23*T34</f>
        <v>1.4219178082191782E-2</v>
      </c>
      <c r="U91" s="147">
        <f t="shared" si="55"/>
        <v>1.1178082191780825E-2</v>
      </c>
      <c r="V91" s="147">
        <f t="shared" si="55"/>
        <v>1.1424657534246575E-2</v>
      </c>
      <c r="W91" s="147">
        <f t="shared" si="55"/>
        <v>7.3150684931506862E-3</v>
      </c>
      <c r="X91" s="147">
        <f t="shared" si="55"/>
        <v>5.7534246575342467E-3</v>
      </c>
      <c r="Y91" s="147">
        <f t="shared" si="55"/>
        <v>4.3561643835616443E-3</v>
      </c>
      <c r="Z91" s="147">
        <f t="shared" si="55"/>
        <v>3.5342465753424659E-3</v>
      </c>
      <c r="AA91" s="147">
        <f t="shared" si="55"/>
        <v>3.9452054794520547E-3</v>
      </c>
      <c r="AB91" s="147">
        <f t="shared" si="55"/>
        <v>4.6027397260273986E-3</v>
      </c>
      <c r="AC91" s="147">
        <f t="shared" si="55"/>
        <v>8.0547945205479456E-3</v>
      </c>
      <c r="AD91" s="147">
        <f t="shared" si="55"/>
        <v>1.0520547945205481E-2</v>
      </c>
      <c r="AE91" s="144">
        <f t="shared" si="55"/>
        <v>1.3643835616438357E-2</v>
      </c>
      <c r="AF91" s="147">
        <f t="shared" ref="AF91:AQ91" si="56">1/$C$13*$N$23*T34</f>
        <v>1.4219178082191782E-2</v>
      </c>
      <c r="AG91" s="147">
        <f t="shared" si="56"/>
        <v>1.1178082191780825E-2</v>
      </c>
      <c r="AH91" s="147">
        <f t="shared" si="56"/>
        <v>1.1424657534246575E-2</v>
      </c>
      <c r="AI91" s="147">
        <f t="shared" si="56"/>
        <v>7.3150684931506862E-3</v>
      </c>
      <c r="AJ91" s="147">
        <f t="shared" si="56"/>
        <v>5.7534246575342467E-3</v>
      </c>
      <c r="AK91" s="147">
        <f t="shared" si="56"/>
        <v>4.3561643835616443E-3</v>
      </c>
      <c r="AL91" s="147">
        <f t="shared" si="56"/>
        <v>3.5342465753424659E-3</v>
      </c>
      <c r="AM91" s="147">
        <f t="shared" si="56"/>
        <v>3.9452054794520547E-3</v>
      </c>
      <c r="AN91" s="147">
        <f t="shared" si="56"/>
        <v>4.6027397260273986E-3</v>
      </c>
      <c r="AO91" s="147">
        <f t="shared" si="56"/>
        <v>8.0547945205479456E-3</v>
      </c>
      <c r="AP91" s="147">
        <f t="shared" si="56"/>
        <v>1.0520547945205481E-2</v>
      </c>
      <c r="AQ91" s="200">
        <f t="shared" si="56"/>
        <v>1.3643835616438357E-2</v>
      </c>
    </row>
    <row r="92" spans="2:48" x14ac:dyDescent="0.25">
      <c r="B92" s="190" t="s">
        <v>101</v>
      </c>
      <c r="C92" s="159">
        <f>'Kainos 2026-2028'!G124</f>
        <v>142.77000000000001</v>
      </c>
      <c r="D92" s="150">
        <f t="shared" ref="D92:AQ92" si="57">$C$110*D88</f>
        <v>38.723917808219191</v>
      </c>
      <c r="E92" s="141">
        <f t="shared" si="57"/>
        <v>39.154183561643841</v>
      </c>
      <c r="F92" s="141">
        <f t="shared" si="57"/>
        <v>39.584449315068504</v>
      </c>
      <c r="G92" s="145">
        <f t="shared" si="57"/>
        <v>39.584449315068504</v>
      </c>
      <c r="H92" s="150">
        <f t="shared" si="57"/>
        <v>15.15708904109589</v>
      </c>
      <c r="I92" s="141">
        <f t="shared" si="57"/>
        <v>13.690273972602743</v>
      </c>
      <c r="J92" s="141">
        <f t="shared" si="57"/>
        <v>15.15708904109589</v>
      </c>
      <c r="K92" s="141">
        <f t="shared" si="57"/>
        <v>14.668150684931508</v>
      </c>
      <c r="L92" s="141">
        <f t="shared" si="57"/>
        <v>15.15708904109589</v>
      </c>
      <c r="M92" s="141">
        <f t="shared" si="57"/>
        <v>14.668150684931508</v>
      </c>
      <c r="N92" s="141">
        <f t="shared" si="57"/>
        <v>15.15708904109589</v>
      </c>
      <c r="O92" s="141">
        <f t="shared" si="57"/>
        <v>15.15708904109589</v>
      </c>
      <c r="P92" s="141">
        <f t="shared" si="57"/>
        <v>14.668150684931508</v>
      </c>
      <c r="Q92" s="141">
        <f t="shared" si="57"/>
        <v>15.15708904109589</v>
      </c>
      <c r="R92" s="141">
        <f t="shared" si="57"/>
        <v>14.668150684931508</v>
      </c>
      <c r="S92" s="145">
        <f t="shared" si="57"/>
        <v>15.15708904109589</v>
      </c>
      <c r="T92" s="150">
        <f t="shared" si="57"/>
        <v>0.58672602739726043</v>
      </c>
      <c r="U92" s="141">
        <f t="shared" si="57"/>
        <v>0.58672602739726043</v>
      </c>
      <c r="V92" s="141">
        <f t="shared" si="57"/>
        <v>0.58672602739726043</v>
      </c>
      <c r="W92" s="141">
        <f t="shared" si="57"/>
        <v>0.58672602739726043</v>
      </c>
      <c r="X92" s="141">
        <f t="shared" si="57"/>
        <v>0.58672602739726043</v>
      </c>
      <c r="Y92" s="141">
        <f t="shared" si="57"/>
        <v>0.58672602739726043</v>
      </c>
      <c r="Z92" s="141">
        <f t="shared" si="57"/>
        <v>0.58672602739726043</v>
      </c>
      <c r="AA92" s="141">
        <f t="shared" si="57"/>
        <v>0.58672602739726043</v>
      </c>
      <c r="AB92" s="141">
        <f t="shared" si="57"/>
        <v>0.58672602739726043</v>
      </c>
      <c r="AC92" s="141">
        <f t="shared" si="57"/>
        <v>0.58672602739726043</v>
      </c>
      <c r="AD92" s="141">
        <f t="shared" si="57"/>
        <v>0.58672602739726043</v>
      </c>
      <c r="AE92" s="145">
        <f t="shared" si="57"/>
        <v>0.58672602739726043</v>
      </c>
      <c r="AF92" s="148">
        <f t="shared" si="57"/>
        <v>0.66495616438356164</v>
      </c>
      <c r="AG92" s="141">
        <f t="shared" si="57"/>
        <v>0.66495616438356164</v>
      </c>
      <c r="AH92" s="141">
        <f t="shared" si="57"/>
        <v>0.66495616438356164</v>
      </c>
      <c r="AI92" s="141">
        <f t="shared" si="57"/>
        <v>0.66495616438356164</v>
      </c>
      <c r="AJ92" s="141">
        <f t="shared" si="57"/>
        <v>0.66495616438356164</v>
      </c>
      <c r="AK92" s="141">
        <f t="shared" si="57"/>
        <v>0.66495616438356164</v>
      </c>
      <c r="AL92" s="141">
        <f t="shared" si="57"/>
        <v>0.66495616438356164</v>
      </c>
      <c r="AM92" s="141">
        <f t="shared" si="57"/>
        <v>0.66495616438356164</v>
      </c>
      <c r="AN92" s="141">
        <f t="shared" si="57"/>
        <v>0.66495616438356164</v>
      </c>
      <c r="AO92" s="141">
        <f t="shared" si="57"/>
        <v>0.66495616438356164</v>
      </c>
      <c r="AP92" s="141">
        <f t="shared" si="57"/>
        <v>0.66495616438356164</v>
      </c>
      <c r="AQ92" s="201">
        <f t="shared" si="57"/>
        <v>0.66495616438356164</v>
      </c>
      <c r="AS92" s="237"/>
    </row>
    <row r="93" spans="2:48" x14ac:dyDescent="0.25">
      <c r="B93" s="213" t="s">
        <v>102</v>
      </c>
      <c r="C93" s="159">
        <f>'Kainos 2026-2028'!G125</f>
        <v>142.77000000000001</v>
      </c>
      <c r="D93" s="150">
        <f>$C$93*D89</f>
        <v>38.723917808219191</v>
      </c>
      <c r="E93" s="141">
        <f t="shared" ref="E93:G93" si="58">$C$93*E89</f>
        <v>39.154183561643841</v>
      </c>
      <c r="F93" s="141">
        <f t="shared" si="58"/>
        <v>39.584449315068504</v>
      </c>
      <c r="G93" s="145">
        <f t="shared" si="58"/>
        <v>39.584449315068504</v>
      </c>
      <c r="H93" s="150">
        <f>$C$93*H89</f>
        <v>15.15708904109589</v>
      </c>
      <c r="I93" s="141">
        <f>$C$93*I89</f>
        <v>13.690273972602743</v>
      </c>
      <c r="J93" s="141">
        <f t="shared" ref="J93:S93" si="59">$C$93*J89</f>
        <v>15.15708904109589</v>
      </c>
      <c r="K93" s="141">
        <f t="shared" si="59"/>
        <v>14.668150684931508</v>
      </c>
      <c r="L93" s="141">
        <f t="shared" si="59"/>
        <v>15.15708904109589</v>
      </c>
      <c r="M93" s="141">
        <f t="shared" si="59"/>
        <v>14.668150684931508</v>
      </c>
      <c r="N93" s="141">
        <f t="shared" si="59"/>
        <v>15.15708904109589</v>
      </c>
      <c r="O93" s="141">
        <f t="shared" si="59"/>
        <v>15.15708904109589</v>
      </c>
      <c r="P93" s="141">
        <f t="shared" si="59"/>
        <v>14.668150684931508</v>
      </c>
      <c r="Q93" s="141">
        <f t="shared" si="59"/>
        <v>15.15708904109589</v>
      </c>
      <c r="R93" s="141">
        <f t="shared" si="59"/>
        <v>14.668150684931508</v>
      </c>
      <c r="S93" s="145">
        <f t="shared" si="59"/>
        <v>15.15708904109589</v>
      </c>
      <c r="T93" s="150">
        <f>$C$93*T89</f>
        <v>0.58672602739726043</v>
      </c>
      <c r="U93" s="141">
        <f>$C$93*U89</f>
        <v>0.58672602739726043</v>
      </c>
      <c r="V93" s="141">
        <f t="shared" ref="V93:AQ93" si="60">$C$93*V89</f>
        <v>0.58672602739726043</v>
      </c>
      <c r="W93" s="141">
        <f t="shared" si="60"/>
        <v>0.58672602739726043</v>
      </c>
      <c r="X93" s="141">
        <f t="shared" si="60"/>
        <v>0.58672602739726043</v>
      </c>
      <c r="Y93" s="141">
        <f t="shared" si="60"/>
        <v>0.58672602739726043</v>
      </c>
      <c r="Z93" s="141">
        <f t="shared" si="60"/>
        <v>0.58672602739726043</v>
      </c>
      <c r="AA93" s="141">
        <f t="shared" si="60"/>
        <v>0.58672602739726043</v>
      </c>
      <c r="AB93" s="141">
        <f t="shared" si="60"/>
        <v>0.58672602739726043</v>
      </c>
      <c r="AC93" s="141">
        <f t="shared" si="60"/>
        <v>0.58672602739726043</v>
      </c>
      <c r="AD93" s="141">
        <f t="shared" si="60"/>
        <v>0.58672602739726043</v>
      </c>
      <c r="AE93" s="145">
        <f t="shared" si="60"/>
        <v>0.58672602739726043</v>
      </c>
      <c r="AF93" s="141">
        <f t="shared" si="60"/>
        <v>0.66495616438356164</v>
      </c>
      <c r="AG93" s="141">
        <f>$C$93*AG89</f>
        <v>0.66495616438356164</v>
      </c>
      <c r="AH93" s="141">
        <f t="shared" si="60"/>
        <v>0.66495616438356164</v>
      </c>
      <c r="AI93" s="141">
        <f t="shared" si="60"/>
        <v>0.66495616438356164</v>
      </c>
      <c r="AJ93" s="141">
        <f t="shared" si="60"/>
        <v>0.66495616438356164</v>
      </c>
      <c r="AK93" s="141">
        <f t="shared" si="60"/>
        <v>0.66495616438356164</v>
      </c>
      <c r="AL93" s="141">
        <f t="shared" si="60"/>
        <v>0.66495616438356164</v>
      </c>
      <c r="AM93" s="141">
        <f t="shared" si="60"/>
        <v>0.66495616438356164</v>
      </c>
      <c r="AN93" s="141">
        <f t="shared" si="60"/>
        <v>0.66495616438356164</v>
      </c>
      <c r="AO93" s="141">
        <f t="shared" si="60"/>
        <v>0.66495616438356164</v>
      </c>
      <c r="AP93" s="141">
        <f t="shared" si="60"/>
        <v>0.66495616438356164</v>
      </c>
      <c r="AQ93" s="201">
        <f t="shared" si="60"/>
        <v>0.66495616438356164</v>
      </c>
      <c r="AS93" s="237"/>
    </row>
    <row r="94" spans="2:48" x14ac:dyDescent="0.25">
      <c r="B94" s="190" t="s">
        <v>124</v>
      </c>
      <c r="C94" s="159">
        <f>'Kainos 2026-2028'!G126</f>
        <v>35.96</v>
      </c>
      <c r="D94" s="150">
        <f t="shared" ref="D94:AQ94" si="61">$C$94*D88</f>
        <v>9.7535342465753452</v>
      </c>
      <c r="E94" s="141">
        <f t="shared" si="61"/>
        <v>9.8619068493150692</v>
      </c>
      <c r="F94" s="141">
        <f t="shared" si="61"/>
        <v>9.9702794520547968</v>
      </c>
      <c r="G94" s="145">
        <f t="shared" si="61"/>
        <v>9.9702794520547968</v>
      </c>
      <c r="H94" s="150">
        <f t="shared" si="61"/>
        <v>3.8176712328767124</v>
      </c>
      <c r="I94" s="141">
        <f t="shared" si="61"/>
        <v>3.448219178082192</v>
      </c>
      <c r="J94" s="141">
        <f t="shared" si="61"/>
        <v>3.8176712328767124</v>
      </c>
      <c r="K94" s="141">
        <f t="shared" si="61"/>
        <v>3.6945205479452055</v>
      </c>
      <c r="L94" s="141">
        <f t="shared" si="61"/>
        <v>3.8176712328767124</v>
      </c>
      <c r="M94" s="141">
        <f t="shared" si="61"/>
        <v>3.6945205479452055</v>
      </c>
      <c r="N94" s="141">
        <f t="shared" si="61"/>
        <v>3.8176712328767124</v>
      </c>
      <c r="O94" s="141">
        <f t="shared" si="61"/>
        <v>3.8176712328767124</v>
      </c>
      <c r="P94" s="141">
        <f t="shared" si="61"/>
        <v>3.6945205479452055</v>
      </c>
      <c r="Q94" s="141">
        <f t="shared" si="61"/>
        <v>3.8176712328767124</v>
      </c>
      <c r="R94" s="141">
        <f t="shared" si="61"/>
        <v>3.6945205479452055</v>
      </c>
      <c r="S94" s="145">
        <f t="shared" si="61"/>
        <v>3.8176712328767124</v>
      </c>
      <c r="T94" s="150">
        <f t="shared" si="61"/>
        <v>0.14778082191780825</v>
      </c>
      <c r="U94" s="141">
        <f t="shared" si="61"/>
        <v>0.14778082191780825</v>
      </c>
      <c r="V94" s="141">
        <f t="shared" si="61"/>
        <v>0.14778082191780825</v>
      </c>
      <c r="W94" s="141">
        <f t="shared" si="61"/>
        <v>0.14778082191780825</v>
      </c>
      <c r="X94" s="141">
        <f t="shared" si="61"/>
        <v>0.14778082191780825</v>
      </c>
      <c r="Y94" s="141">
        <f t="shared" si="61"/>
        <v>0.14778082191780825</v>
      </c>
      <c r="Z94" s="141">
        <f t="shared" si="61"/>
        <v>0.14778082191780825</v>
      </c>
      <c r="AA94" s="141">
        <f t="shared" si="61"/>
        <v>0.14778082191780825</v>
      </c>
      <c r="AB94" s="141">
        <f t="shared" si="61"/>
        <v>0.14778082191780825</v>
      </c>
      <c r="AC94" s="141">
        <f t="shared" si="61"/>
        <v>0.14778082191780825</v>
      </c>
      <c r="AD94" s="141">
        <f t="shared" si="61"/>
        <v>0.14778082191780825</v>
      </c>
      <c r="AE94" s="145">
        <f t="shared" si="61"/>
        <v>0.14778082191780825</v>
      </c>
      <c r="AF94" s="148">
        <f t="shared" si="61"/>
        <v>0.16748493150684932</v>
      </c>
      <c r="AG94" s="141">
        <f t="shared" si="61"/>
        <v>0.16748493150684932</v>
      </c>
      <c r="AH94" s="141">
        <f t="shared" si="61"/>
        <v>0.16748493150684932</v>
      </c>
      <c r="AI94" s="141">
        <f t="shared" si="61"/>
        <v>0.16748493150684932</v>
      </c>
      <c r="AJ94" s="141">
        <f t="shared" si="61"/>
        <v>0.16748493150684932</v>
      </c>
      <c r="AK94" s="141">
        <f t="shared" si="61"/>
        <v>0.16748493150684932</v>
      </c>
      <c r="AL94" s="141">
        <f t="shared" si="61"/>
        <v>0.16748493150684932</v>
      </c>
      <c r="AM94" s="141">
        <f t="shared" si="61"/>
        <v>0.16748493150684932</v>
      </c>
      <c r="AN94" s="141">
        <f t="shared" si="61"/>
        <v>0.16748493150684932</v>
      </c>
      <c r="AO94" s="141">
        <f t="shared" si="61"/>
        <v>0.16748493150684932</v>
      </c>
      <c r="AP94" s="141">
        <f t="shared" si="61"/>
        <v>0.16748493150684932</v>
      </c>
      <c r="AQ94" s="201">
        <f t="shared" si="61"/>
        <v>0.16748493150684932</v>
      </c>
    </row>
    <row r="95" spans="2:48" x14ac:dyDescent="0.25">
      <c r="B95" s="190" t="s">
        <v>104</v>
      </c>
      <c r="C95" s="159">
        <f>'Kainos 2026-2028'!G127</f>
        <v>142.77000000000001</v>
      </c>
      <c r="D95" s="150">
        <f t="shared" ref="D95:S95" si="62">$C$95*D88</f>
        <v>38.723917808219191</v>
      </c>
      <c r="E95" s="141">
        <f t="shared" si="62"/>
        <v>39.154183561643841</v>
      </c>
      <c r="F95" s="141">
        <f t="shared" si="62"/>
        <v>39.584449315068504</v>
      </c>
      <c r="G95" s="145">
        <f t="shared" si="62"/>
        <v>39.584449315068504</v>
      </c>
      <c r="H95" s="150">
        <f t="shared" si="62"/>
        <v>15.15708904109589</v>
      </c>
      <c r="I95" s="141">
        <f t="shared" si="62"/>
        <v>13.690273972602743</v>
      </c>
      <c r="J95" s="141">
        <f t="shared" si="62"/>
        <v>15.15708904109589</v>
      </c>
      <c r="K95" s="141">
        <f t="shared" si="62"/>
        <v>14.668150684931508</v>
      </c>
      <c r="L95" s="141">
        <f t="shared" si="62"/>
        <v>15.15708904109589</v>
      </c>
      <c r="M95" s="141">
        <f t="shared" si="62"/>
        <v>14.668150684931508</v>
      </c>
      <c r="N95" s="141">
        <f t="shared" si="62"/>
        <v>15.15708904109589</v>
      </c>
      <c r="O95" s="141">
        <f t="shared" si="62"/>
        <v>15.15708904109589</v>
      </c>
      <c r="P95" s="141">
        <f t="shared" si="62"/>
        <v>14.668150684931508</v>
      </c>
      <c r="Q95" s="141">
        <f t="shared" si="62"/>
        <v>15.15708904109589</v>
      </c>
      <c r="R95" s="141">
        <f t="shared" si="62"/>
        <v>14.668150684931508</v>
      </c>
      <c r="S95" s="145">
        <f t="shared" si="62"/>
        <v>15.15708904109589</v>
      </c>
      <c r="T95" s="265">
        <v>0.6</v>
      </c>
      <c r="U95" s="266">
        <v>0.6</v>
      </c>
      <c r="V95" s="266">
        <v>0.6</v>
      </c>
      <c r="W95" s="266">
        <v>0.6</v>
      </c>
      <c r="X95" s="266">
        <v>0.6</v>
      </c>
      <c r="Y95" s="266">
        <v>0.6</v>
      </c>
      <c r="Z95" s="266">
        <v>0.6</v>
      </c>
      <c r="AA95" s="266">
        <v>0.6</v>
      </c>
      <c r="AB95" s="266">
        <v>0.6</v>
      </c>
      <c r="AC95" s="266">
        <v>0.6</v>
      </c>
      <c r="AD95" s="266">
        <v>0.6</v>
      </c>
      <c r="AE95" s="267">
        <v>0.6</v>
      </c>
      <c r="AF95" s="268">
        <v>0.65</v>
      </c>
      <c r="AG95" s="266">
        <v>0.65</v>
      </c>
      <c r="AH95" s="266">
        <v>0.65</v>
      </c>
      <c r="AI95" s="266">
        <v>0.65</v>
      </c>
      <c r="AJ95" s="266">
        <v>0.65</v>
      </c>
      <c r="AK95" s="266">
        <v>0.65</v>
      </c>
      <c r="AL95" s="266">
        <v>0.65</v>
      </c>
      <c r="AM95" s="266">
        <v>0.65</v>
      </c>
      <c r="AN95" s="266">
        <v>0.65</v>
      </c>
      <c r="AO95" s="266">
        <v>0.65</v>
      </c>
      <c r="AP95" s="266">
        <v>0.65</v>
      </c>
      <c r="AQ95" s="269">
        <v>0.65</v>
      </c>
    </row>
    <row r="96" spans="2:48" x14ac:dyDescent="0.25">
      <c r="B96" s="190" t="s">
        <v>105</v>
      </c>
      <c r="C96" s="159">
        <f>'Kainos 2026-2028'!G128</f>
        <v>142.77000000000001</v>
      </c>
      <c r="D96" s="150">
        <f t="shared" ref="D96:AQ96" si="63">$C$96*D88</f>
        <v>38.723917808219191</v>
      </c>
      <c r="E96" s="141">
        <f t="shared" si="63"/>
        <v>39.154183561643841</v>
      </c>
      <c r="F96" s="141">
        <f t="shared" si="63"/>
        <v>39.584449315068504</v>
      </c>
      <c r="G96" s="145">
        <f t="shared" si="63"/>
        <v>39.584449315068504</v>
      </c>
      <c r="H96" s="150">
        <f t="shared" si="63"/>
        <v>15.15708904109589</v>
      </c>
      <c r="I96" s="141">
        <f t="shared" si="63"/>
        <v>13.690273972602743</v>
      </c>
      <c r="J96" s="141">
        <f t="shared" si="63"/>
        <v>15.15708904109589</v>
      </c>
      <c r="K96" s="141">
        <f t="shared" si="63"/>
        <v>14.668150684931508</v>
      </c>
      <c r="L96" s="141">
        <f t="shared" si="63"/>
        <v>15.15708904109589</v>
      </c>
      <c r="M96" s="141">
        <f t="shared" si="63"/>
        <v>14.668150684931508</v>
      </c>
      <c r="N96" s="141">
        <f t="shared" si="63"/>
        <v>15.15708904109589</v>
      </c>
      <c r="O96" s="141">
        <f t="shared" si="63"/>
        <v>15.15708904109589</v>
      </c>
      <c r="P96" s="141">
        <f t="shared" si="63"/>
        <v>14.668150684931508</v>
      </c>
      <c r="Q96" s="141">
        <f t="shared" si="63"/>
        <v>15.15708904109589</v>
      </c>
      <c r="R96" s="141">
        <f t="shared" si="63"/>
        <v>14.668150684931508</v>
      </c>
      <c r="S96" s="145">
        <f t="shared" si="63"/>
        <v>15.15708904109589</v>
      </c>
      <c r="T96" s="150">
        <f t="shared" si="63"/>
        <v>0.58672602739726043</v>
      </c>
      <c r="U96" s="141">
        <f t="shared" si="63"/>
        <v>0.58672602739726043</v>
      </c>
      <c r="V96" s="141">
        <f t="shared" si="63"/>
        <v>0.58672602739726043</v>
      </c>
      <c r="W96" s="141">
        <f t="shared" si="63"/>
        <v>0.58672602739726043</v>
      </c>
      <c r="X96" s="141">
        <f t="shared" si="63"/>
        <v>0.58672602739726043</v>
      </c>
      <c r="Y96" s="141">
        <f t="shared" si="63"/>
        <v>0.58672602739726043</v>
      </c>
      <c r="Z96" s="141">
        <f t="shared" si="63"/>
        <v>0.58672602739726043</v>
      </c>
      <c r="AA96" s="141">
        <f t="shared" si="63"/>
        <v>0.58672602739726043</v>
      </c>
      <c r="AB96" s="141">
        <f t="shared" si="63"/>
        <v>0.58672602739726043</v>
      </c>
      <c r="AC96" s="141">
        <f t="shared" si="63"/>
        <v>0.58672602739726043</v>
      </c>
      <c r="AD96" s="141">
        <f t="shared" si="63"/>
        <v>0.58672602739726043</v>
      </c>
      <c r="AE96" s="145">
        <f t="shared" si="63"/>
        <v>0.58672602739726043</v>
      </c>
      <c r="AF96" s="148">
        <f t="shared" si="63"/>
        <v>0.66495616438356164</v>
      </c>
      <c r="AG96" s="141">
        <f t="shared" si="63"/>
        <v>0.66495616438356164</v>
      </c>
      <c r="AH96" s="141">
        <f t="shared" si="63"/>
        <v>0.66495616438356164</v>
      </c>
      <c r="AI96" s="141">
        <f t="shared" si="63"/>
        <v>0.66495616438356164</v>
      </c>
      <c r="AJ96" s="141">
        <f t="shared" si="63"/>
        <v>0.66495616438356164</v>
      </c>
      <c r="AK96" s="141">
        <f t="shared" si="63"/>
        <v>0.66495616438356164</v>
      </c>
      <c r="AL96" s="141">
        <f t="shared" si="63"/>
        <v>0.66495616438356164</v>
      </c>
      <c r="AM96" s="141">
        <f t="shared" si="63"/>
        <v>0.66495616438356164</v>
      </c>
      <c r="AN96" s="141">
        <f t="shared" si="63"/>
        <v>0.66495616438356164</v>
      </c>
      <c r="AO96" s="141">
        <f t="shared" si="63"/>
        <v>0.66495616438356164</v>
      </c>
      <c r="AP96" s="141">
        <f t="shared" si="63"/>
        <v>0.66495616438356164</v>
      </c>
      <c r="AQ96" s="201">
        <f t="shared" si="63"/>
        <v>0.66495616438356164</v>
      </c>
      <c r="AS96" s="237"/>
      <c r="AT96" s="237"/>
      <c r="AU96" s="237"/>
      <c r="AV96" s="237"/>
    </row>
    <row r="97" spans="2:52" x14ac:dyDescent="0.25">
      <c r="B97" s="190" t="s">
        <v>106</v>
      </c>
      <c r="C97" s="159">
        <f>'Kainos 2026-2028'!G129</f>
        <v>142.77000000000001</v>
      </c>
      <c r="D97" s="150">
        <f t="shared" ref="D97:AQ97" si="64">$C$97*D88</f>
        <v>38.723917808219191</v>
      </c>
      <c r="E97" s="141">
        <f t="shared" si="64"/>
        <v>39.154183561643841</v>
      </c>
      <c r="F97" s="141">
        <f t="shared" si="64"/>
        <v>39.584449315068504</v>
      </c>
      <c r="G97" s="145">
        <f t="shared" si="64"/>
        <v>39.584449315068504</v>
      </c>
      <c r="H97" s="150">
        <f t="shared" si="64"/>
        <v>15.15708904109589</v>
      </c>
      <c r="I97" s="141">
        <f t="shared" si="64"/>
        <v>13.690273972602743</v>
      </c>
      <c r="J97" s="141">
        <f t="shared" si="64"/>
        <v>15.15708904109589</v>
      </c>
      <c r="K97" s="141">
        <f t="shared" si="64"/>
        <v>14.668150684931508</v>
      </c>
      <c r="L97" s="141">
        <f t="shared" si="64"/>
        <v>15.15708904109589</v>
      </c>
      <c r="M97" s="141">
        <f t="shared" si="64"/>
        <v>14.668150684931508</v>
      </c>
      <c r="N97" s="141">
        <f t="shared" si="64"/>
        <v>15.15708904109589</v>
      </c>
      <c r="O97" s="141">
        <f t="shared" si="64"/>
        <v>15.15708904109589</v>
      </c>
      <c r="P97" s="141">
        <f t="shared" si="64"/>
        <v>14.668150684931508</v>
      </c>
      <c r="Q97" s="141">
        <f t="shared" si="64"/>
        <v>15.15708904109589</v>
      </c>
      <c r="R97" s="141">
        <f t="shared" si="64"/>
        <v>14.668150684931508</v>
      </c>
      <c r="S97" s="145">
        <f t="shared" si="64"/>
        <v>15.15708904109589</v>
      </c>
      <c r="T97" s="150">
        <f t="shared" si="64"/>
        <v>0.58672602739726043</v>
      </c>
      <c r="U97" s="141">
        <f t="shared" si="64"/>
        <v>0.58672602739726043</v>
      </c>
      <c r="V97" s="141">
        <f t="shared" si="64"/>
        <v>0.58672602739726043</v>
      </c>
      <c r="W97" s="141">
        <f t="shared" si="64"/>
        <v>0.58672602739726043</v>
      </c>
      <c r="X97" s="141">
        <f t="shared" si="64"/>
        <v>0.58672602739726043</v>
      </c>
      <c r="Y97" s="141">
        <f t="shared" si="64"/>
        <v>0.58672602739726043</v>
      </c>
      <c r="Z97" s="141">
        <f t="shared" si="64"/>
        <v>0.58672602739726043</v>
      </c>
      <c r="AA97" s="141">
        <f t="shared" si="64"/>
        <v>0.58672602739726043</v>
      </c>
      <c r="AB97" s="141">
        <f t="shared" si="64"/>
        <v>0.58672602739726043</v>
      </c>
      <c r="AC97" s="141">
        <f t="shared" si="64"/>
        <v>0.58672602739726043</v>
      </c>
      <c r="AD97" s="141">
        <f t="shared" si="64"/>
        <v>0.58672602739726043</v>
      </c>
      <c r="AE97" s="145">
        <f t="shared" si="64"/>
        <v>0.58672602739726043</v>
      </c>
      <c r="AF97" s="148">
        <f t="shared" si="64"/>
        <v>0.66495616438356164</v>
      </c>
      <c r="AG97" s="141">
        <f t="shared" si="64"/>
        <v>0.66495616438356164</v>
      </c>
      <c r="AH97" s="141">
        <f t="shared" si="64"/>
        <v>0.66495616438356164</v>
      </c>
      <c r="AI97" s="141">
        <f t="shared" si="64"/>
        <v>0.66495616438356164</v>
      </c>
      <c r="AJ97" s="141">
        <f t="shared" si="64"/>
        <v>0.66495616438356164</v>
      </c>
      <c r="AK97" s="141">
        <f t="shared" si="64"/>
        <v>0.66495616438356164</v>
      </c>
      <c r="AL97" s="141">
        <f t="shared" si="64"/>
        <v>0.66495616438356164</v>
      </c>
      <c r="AM97" s="141">
        <f t="shared" si="64"/>
        <v>0.66495616438356164</v>
      </c>
      <c r="AN97" s="141">
        <f t="shared" si="64"/>
        <v>0.66495616438356164</v>
      </c>
      <c r="AO97" s="141">
        <f t="shared" si="64"/>
        <v>0.66495616438356164</v>
      </c>
      <c r="AP97" s="141">
        <f t="shared" si="64"/>
        <v>0.66495616438356164</v>
      </c>
      <c r="AQ97" s="201">
        <f t="shared" si="64"/>
        <v>0.66495616438356164</v>
      </c>
      <c r="AS97" s="237"/>
      <c r="AT97" s="237"/>
      <c r="AU97" s="237"/>
      <c r="AV97" s="237"/>
    </row>
    <row r="98" spans="2:52" x14ac:dyDescent="0.25">
      <c r="B98" s="190" t="s">
        <v>107</v>
      </c>
      <c r="C98" s="159">
        <f>'Kainos 2026-2028'!G130</f>
        <v>84.295247866741661</v>
      </c>
      <c r="D98" s="150">
        <f t="shared" ref="D98:AQ98" si="65">+$C$98*D89</f>
        <v>22.86364257207514</v>
      </c>
      <c r="E98" s="141">
        <f t="shared" si="65"/>
        <v>23.117683045098193</v>
      </c>
      <c r="F98" s="141">
        <f t="shared" si="65"/>
        <v>23.371723518121254</v>
      </c>
      <c r="G98" s="145">
        <f t="shared" si="65"/>
        <v>23.371723518121254</v>
      </c>
      <c r="H98" s="150">
        <f t="shared" si="65"/>
        <v>8.9491530269486006</v>
      </c>
      <c r="I98" s="141">
        <f t="shared" si="65"/>
        <v>8.0831059598245432</v>
      </c>
      <c r="J98" s="141">
        <f t="shared" si="65"/>
        <v>8.9491530269486006</v>
      </c>
      <c r="K98" s="141">
        <f t="shared" si="65"/>
        <v>8.6604706712405815</v>
      </c>
      <c r="L98" s="141">
        <f t="shared" si="65"/>
        <v>8.9491530269486006</v>
      </c>
      <c r="M98" s="141">
        <f t="shared" si="65"/>
        <v>8.6604706712405815</v>
      </c>
      <c r="N98" s="141">
        <f t="shared" si="65"/>
        <v>8.9491530269486006</v>
      </c>
      <c r="O98" s="141">
        <f t="shared" si="65"/>
        <v>8.9491530269486006</v>
      </c>
      <c r="P98" s="141">
        <f t="shared" si="65"/>
        <v>8.6604706712405815</v>
      </c>
      <c r="Q98" s="141">
        <f t="shared" si="65"/>
        <v>8.9491530269486006</v>
      </c>
      <c r="R98" s="141">
        <f t="shared" si="65"/>
        <v>8.6604706712405815</v>
      </c>
      <c r="S98" s="145">
        <f t="shared" si="65"/>
        <v>8.9491530269486006</v>
      </c>
      <c r="T98" s="265">
        <v>0.34</v>
      </c>
      <c r="U98" s="266">
        <v>0.34</v>
      </c>
      <c r="V98" s="266">
        <v>0.34</v>
      </c>
      <c r="W98" s="266">
        <v>0.34</v>
      </c>
      <c r="X98" s="266">
        <v>0.34</v>
      </c>
      <c r="Y98" s="266">
        <v>0.34</v>
      </c>
      <c r="Z98" s="266">
        <v>0.34</v>
      </c>
      <c r="AA98" s="266">
        <v>0.34</v>
      </c>
      <c r="AB98" s="266">
        <v>0.34</v>
      </c>
      <c r="AC98" s="266">
        <v>0.34</v>
      </c>
      <c r="AD98" s="266">
        <v>0.34</v>
      </c>
      <c r="AE98" s="267">
        <v>0.34</v>
      </c>
      <c r="AF98" s="268">
        <f t="shared" si="65"/>
        <v>0.39260800376290633</v>
      </c>
      <c r="AG98" s="266">
        <f t="shared" si="65"/>
        <v>0.39260800376290633</v>
      </c>
      <c r="AH98" s="266">
        <f t="shared" si="65"/>
        <v>0.39260800376290633</v>
      </c>
      <c r="AI98" s="266">
        <f t="shared" si="65"/>
        <v>0.39260800376290633</v>
      </c>
      <c r="AJ98" s="266">
        <f t="shared" si="65"/>
        <v>0.39260800376290633</v>
      </c>
      <c r="AK98" s="266">
        <f t="shared" si="65"/>
        <v>0.39260800376290633</v>
      </c>
      <c r="AL98" s="266">
        <f t="shared" si="65"/>
        <v>0.39260800376290633</v>
      </c>
      <c r="AM98" s="266">
        <f t="shared" si="65"/>
        <v>0.39260800376290633</v>
      </c>
      <c r="AN98" s="266">
        <f t="shared" si="65"/>
        <v>0.39260800376290633</v>
      </c>
      <c r="AO98" s="266">
        <f t="shared" si="65"/>
        <v>0.39260800376290633</v>
      </c>
      <c r="AP98" s="266">
        <f t="shared" si="65"/>
        <v>0.39260800376290633</v>
      </c>
      <c r="AQ98" s="269">
        <f t="shared" si="65"/>
        <v>0.39260800376290633</v>
      </c>
      <c r="AS98" s="237"/>
      <c r="AT98" s="237"/>
      <c r="AU98" s="237"/>
      <c r="AV98" s="237"/>
    </row>
    <row r="99" spans="2:52" x14ac:dyDescent="0.25">
      <c r="B99" s="190" t="s">
        <v>108</v>
      </c>
      <c r="C99" s="159">
        <f>'Kainos 2026-2028'!G131</f>
        <v>61.866821156364438</v>
      </c>
      <c r="D99" s="150">
        <f t="shared" ref="D99:AQ99" si="66">+$C$99*D90</f>
        <v>28.602811151058901</v>
      </c>
      <c r="E99" s="141">
        <f t="shared" si="66"/>
        <v>13.49628940979594</v>
      </c>
      <c r="F99" s="141">
        <f t="shared" si="66"/>
        <v>9.5512201977017437</v>
      </c>
      <c r="G99" s="145">
        <f t="shared" si="66"/>
        <v>25.534894814263847</v>
      </c>
      <c r="H99" s="150">
        <f t="shared" si="66"/>
        <v>13.635277884722568</v>
      </c>
      <c r="I99" s="141">
        <f t="shared" si="66"/>
        <v>9.681733765620649</v>
      </c>
      <c r="J99" s="141">
        <f t="shared" si="66"/>
        <v>10.955512288881138</v>
      </c>
      <c r="K99" s="141">
        <f t="shared" si="66"/>
        <v>6.7884005131846452</v>
      </c>
      <c r="L99" s="141">
        <f t="shared" si="66"/>
        <v>5.5171644620264724</v>
      </c>
      <c r="M99" s="141">
        <f t="shared" si="66"/>
        <v>4.0425306426829914</v>
      </c>
      <c r="N99" s="141">
        <f t="shared" si="66"/>
        <v>3.3891153123876903</v>
      </c>
      <c r="O99" s="141">
        <f t="shared" si="66"/>
        <v>3.783198488246724</v>
      </c>
      <c r="P99" s="141">
        <f t="shared" si="66"/>
        <v>4.2713531318914626</v>
      </c>
      <c r="Q99" s="141">
        <f t="shared" si="66"/>
        <v>7.7240302468370619</v>
      </c>
      <c r="R99" s="141">
        <f t="shared" si="66"/>
        <v>9.7630928728947719</v>
      </c>
      <c r="S99" s="145">
        <f t="shared" si="66"/>
        <v>13.08356143851992</v>
      </c>
      <c r="T99" s="150">
        <f t="shared" si="66"/>
        <v>0.87969534740145605</v>
      </c>
      <c r="U99" s="141">
        <f t="shared" si="66"/>
        <v>0.69155241183004645</v>
      </c>
      <c r="V99" s="141">
        <f t="shared" si="66"/>
        <v>0.70680724444394438</v>
      </c>
      <c r="W99" s="141">
        <f t="shared" si="66"/>
        <v>0.45256003421230978</v>
      </c>
      <c r="X99" s="141">
        <f t="shared" si="66"/>
        <v>0.35594609432428853</v>
      </c>
      <c r="Y99" s="141">
        <f t="shared" si="66"/>
        <v>0.26950204284553281</v>
      </c>
      <c r="Z99" s="141">
        <f t="shared" si="66"/>
        <v>0.21865260079920584</v>
      </c>
      <c r="AA99" s="141">
        <f t="shared" si="66"/>
        <v>0.24407732182236927</v>
      </c>
      <c r="AB99" s="141">
        <f t="shared" si="66"/>
        <v>0.2847568754594309</v>
      </c>
      <c r="AC99" s="141">
        <f t="shared" si="66"/>
        <v>0.49832453205400401</v>
      </c>
      <c r="AD99" s="141">
        <f t="shared" si="66"/>
        <v>0.6508728581929849</v>
      </c>
      <c r="AE99" s="145">
        <f t="shared" si="66"/>
        <v>0.84410073796902718</v>
      </c>
      <c r="AF99" s="148">
        <f t="shared" si="66"/>
        <v>0.87969534740145605</v>
      </c>
      <c r="AG99" s="141">
        <f t="shared" si="66"/>
        <v>0.69155241183004645</v>
      </c>
      <c r="AH99" s="141">
        <f t="shared" si="66"/>
        <v>0.70680724444394438</v>
      </c>
      <c r="AI99" s="141">
        <f t="shared" si="66"/>
        <v>0.45256003421230978</v>
      </c>
      <c r="AJ99" s="141">
        <f t="shared" si="66"/>
        <v>0.35594609432428853</v>
      </c>
      <c r="AK99" s="141">
        <f t="shared" si="66"/>
        <v>0.26950204284553281</v>
      </c>
      <c r="AL99" s="141">
        <f t="shared" si="66"/>
        <v>0.21865260079920584</v>
      </c>
      <c r="AM99" s="141">
        <f t="shared" si="66"/>
        <v>0.24407732182236927</v>
      </c>
      <c r="AN99" s="141">
        <f t="shared" si="66"/>
        <v>0.2847568754594309</v>
      </c>
      <c r="AO99" s="141">
        <f t="shared" si="66"/>
        <v>0.49832453205400401</v>
      </c>
      <c r="AP99" s="141">
        <f t="shared" si="66"/>
        <v>0.6508728581929849</v>
      </c>
      <c r="AQ99" s="201">
        <f t="shared" si="66"/>
        <v>0.84410073796902718</v>
      </c>
      <c r="AS99" s="237"/>
      <c r="AT99" s="237"/>
      <c r="AU99" s="237"/>
      <c r="AV99" s="237"/>
    </row>
    <row r="100" spans="2:52" x14ac:dyDescent="0.25">
      <c r="B100" s="190" t="s">
        <v>109</v>
      </c>
      <c r="C100" s="159">
        <f>'Kainos 2026-2028'!G132</f>
        <v>84.295247866741661</v>
      </c>
      <c r="D100" s="150">
        <f t="shared" ref="D100:AQ100" si="67">+$C$100*D89</f>
        <v>22.86364257207514</v>
      </c>
      <c r="E100" s="141">
        <f t="shared" si="67"/>
        <v>23.117683045098193</v>
      </c>
      <c r="F100" s="141">
        <f t="shared" si="67"/>
        <v>23.371723518121254</v>
      </c>
      <c r="G100" s="145">
        <f t="shared" si="67"/>
        <v>23.371723518121254</v>
      </c>
      <c r="H100" s="150">
        <f t="shared" si="67"/>
        <v>8.9491530269486006</v>
      </c>
      <c r="I100" s="141">
        <f t="shared" si="67"/>
        <v>8.0831059598245432</v>
      </c>
      <c r="J100" s="141">
        <f t="shared" si="67"/>
        <v>8.9491530269486006</v>
      </c>
      <c r="K100" s="141">
        <f t="shared" si="67"/>
        <v>8.6604706712405815</v>
      </c>
      <c r="L100" s="141">
        <f t="shared" si="67"/>
        <v>8.9491530269486006</v>
      </c>
      <c r="M100" s="141">
        <f t="shared" si="67"/>
        <v>8.6604706712405815</v>
      </c>
      <c r="N100" s="141">
        <f t="shared" si="67"/>
        <v>8.9491530269486006</v>
      </c>
      <c r="O100" s="141">
        <f t="shared" si="67"/>
        <v>8.9491530269486006</v>
      </c>
      <c r="P100" s="141">
        <f t="shared" si="67"/>
        <v>8.6604706712405815</v>
      </c>
      <c r="Q100" s="141">
        <f t="shared" si="67"/>
        <v>8.9491530269486006</v>
      </c>
      <c r="R100" s="141">
        <f t="shared" si="67"/>
        <v>8.6604706712405815</v>
      </c>
      <c r="S100" s="145">
        <f t="shared" si="67"/>
        <v>8.9491530269486006</v>
      </c>
      <c r="T100" s="150">
        <f t="shared" si="67"/>
        <v>0.34641882684962333</v>
      </c>
      <c r="U100" s="141">
        <f t="shared" si="67"/>
        <v>0.34641882684962333</v>
      </c>
      <c r="V100" s="141">
        <f t="shared" si="67"/>
        <v>0.34641882684962333</v>
      </c>
      <c r="W100" s="141">
        <f t="shared" si="67"/>
        <v>0.34641882684962333</v>
      </c>
      <c r="X100" s="141">
        <f t="shared" si="67"/>
        <v>0.34641882684962333</v>
      </c>
      <c r="Y100" s="141">
        <f t="shared" si="67"/>
        <v>0.34641882684962333</v>
      </c>
      <c r="Z100" s="141">
        <f t="shared" si="67"/>
        <v>0.34641882684962333</v>
      </c>
      <c r="AA100" s="141">
        <f t="shared" si="67"/>
        <v>0.34641882684962333</v>
      </c>
      <c r="AB100" s="141">
        <f t="shared" si="67"/>
        <v>0.34641882684962333</v>
      </c>
      <c r="AC100" s="141">
        <f t="shared" si="67"/>
        <v>0.34641882684962333</v>
      </c>
      <c r="AD100" s="141">
        <f t="shared" si="67"/>
        <v>0.34641882684962333</v>
      </c>
      <c r="AE100" s="145">
        <f t="shared" si="67"/>
        <v>0.34641882684962333</v>
      </c>
      <c r="AF100" s="148">
        <f t="shared" si="67"/>
        <v>0.39260800376290633</v>
      </c>
      <c r="AG100" s="141">
        <f t="shared" si="67"/>
        <v>0.39260800376290633</v>
      </c>
      <c r="AH100" s="141">
        <f t="shared" si="67"/>
        <v>0.39260800376290633</v>
      </c>
      <c r="AI100" s="141">
        <f t="shared" si="67"/>
        <v>0.39260800376290633</v>
      </c>
      <c r="AJ100" s="141">
        <f t="shared" si="67"/>
        <v>0.39260800376290633</v>
      </c>
      <c r="AK100" s="141">
        <f t="shared" si="67"/>
        <v>0.39260800376290633</v>
      </c>
      <c r="AL100" s="141">
        <f t="shared" si="67"/>
        <v>0.39260800376290633</v>
      </c>
      <c r="AM100" s="141">
        <f t="shared" si="67"/>
        <v>0.39260800376290633</v>
      </c>
      <c r="AN100" s="141">
        <f t="shared" si="67"/>
        <v>0.39260800376290633</v>
      </c>
      <c r="AO100" s="141">
        <f t="shared" si="67"/>
        <v>0.39260800376290633</v>
      </c>
      <c r="AP100" s="141">
        <f t="shared" si="67"/>
        <v>0.39260800376290633</v>
      </c>
      <c r="AQ100" s="201">
        <f t="shared" si="67"/>
        <v>0.39260800376290633</v>
      </c>
      <c r="AS100" s="237"/>
      <c r="AT100" s="237"/>
      <c r="AU100" s="237"/>
      <c r="AV100" s="237"/>
      <c r="AZ100" s="85"/>
    </row>
    <row r="101" spans="2:52" x14ac:dyDescent="0.25">
      <c r="B101" s="190" t="s">
        <v>110</v>
      </c>
      <c r="C101" s="159">
        <f>'Kainos 2026-2028'!G136</f>
        <v>120.74749341469771</v>
      </c>
      <c r="D101" s="150">
        <f t="shared" ref="D101:AQ101" si="68">+$C$101*D91</f>
        <v>55.82503976364449</v>
      </c>
      <c r="E101" s="141">
        <f t="shared" si="68"/>
        <v>26.341148392178919</v>
      </c>
      <c r="F101" s="141">
        <f t="shared" si="68"/>
        <v>18.641428092926621</v>
      </c>
      <c r="G101" s="145">
        <f t="shared" si="68"/>
        <v>49.837287350477297</v>
      </c>
      <c r="H101" s="150">
        <f>+$C$101*H91</f>
        <v>26.612416733548926</v>
      </c>
      <c r="I101" s="141">
        <f t="shared" si="68"/>
        <v>18.896155681774065</v>
      </c>
      <c r="J101" s="141">
        <f t="shared" si="68"/>
        <v>21.382230785915031</v>
      </c>
      <c r="K101" s="141">
        <f t="shared" si="68"/>
        <v>13.249142770571625</v>
      </c>
      <c r="L101" s="141">
        <f t="shared" si="68"/>
        <v>10.768029892187426</v>
      </c>
      <c r="M101" s="141">
        <f t="shared" si="68"/>
        <v>7.8899389532617548</v>
      </c>
      <c r="N101" s="141">
        <f t="shared" si="68"/>
        <v>6.614646933772276</v>
      </c>
      <c r="O101" s="141">
        <f t="shared" si="68"/>
        <v>7.3837919260713782</v>
      </c>
      <c r="P101" s="141">
        <f t="shared" si="68"/>
        <v>8.3365392713709117</v>
      </c>
      <c r="Q101" s="141">
        <f t="shared" si="68"/>
        <v>15.075241849062397</v>
      </c>
      <c r="R101" s="141">
        <f t="shared" si="68"/>
        <v>19.054946905990654</v>
      </c>
      <c r="S101" s="145">
        <f t="shared" si="68"/>
        <v>25.535613744330181</v>
      </c>
      <c r="T101" s="150">
        <f t="shared" si="68"/>
        <v>1.7169301118418663</v>
      </c>
      <c r="U101" s="141">
        <f t="shared" si="68"/>
        <v>1.3497254058410049</v>
      </c>
      <c r="V101" s="141">
        <f t="shared" si="68"/>
        <v>1.3794987603816149</v>
      </c>
      <c r="W101" s="141">
        <f t="shared" si="68"/>
        <v>0.8832761847047752</v>
      </c>
      <c r="X101" s="141">
        <f t="shared" si="68"/>
        <v>0.69471160594757586</v>
      </c>
      <c r="Y101" s="141">
        <f t="shared" si="68"/>
        <v>0.52599593021745039</v>
      </c>
      <c r="Z101" s="141">
        <f t="shared" si="68"/>
        <v>0.42675141508208236</v>
      </c>
      <c r="AA101" s="141">
        <f t="shared" si="68"/>
        <v>0.47637367264976632</v>
      </c>
      <c r="AB101" s="141">
        <f t="shared" si="68"/>
        <v>0.55576928475806087</v>
      </c>
      <c r="AC101" s="141">
        <f t="shared" si="68"/>
        <v>0.97259624832660629</v>
      </c>
      <c r="AD101" s="141">
        <f t="shared" si="68"/>
        <v>1.2703297937327105</v>
      </c>
      <c r="AE101" s="145">
        <f t="shared" si="68"/>
        <v>1.6474589512471087</v>
      </c>
      <c r="AF101" s="148">
        <f t="shared" si="68"/>
        <v>1.7169301118418663</v>
      </c>
      <c r="AG101" s="141">
        <f t="shared" si="68"/>
        <v>1.3497254058410049</v>
      </c>
      <c r="AH101" s="141">
        <f t="shared" si="68"/>
        <v>1.3794987603816149</v>
      </c>
      <c r="AI101" s="141">
        <f t="shared" si="68"/>
        <v>0.8832761847047752</v>
      </c>
      <c r="AJ101" s="141">
        <f t="shared" si="68"/>
        <v>0.69471160594757586</v>
      </c>
      <c r="AK101" s="141">
        <f t="shared" si="68"/>
        <v>0.52599593021745039</v>
      </c>
      <c r="AL101" s="141">
        <f t="shared" si="68"/>
        <v>0.42675141508208236</v>
      </c>
      <c r="AM101" s="141">
        <f t="shared" si="68"/>
        <v>0.47637367264976632</v>
      </c>
      <c r="AN101" s="141">
        <f t="shared" si="68"/>
        <v>0.55576928475806087</v>
      </c>
      <c r="AO101" s="141">
        <f t="shared" si="68"/>
        <v>0.97259624832660629</v>
      </c>
      <c r="AP101" s="141">
        <f t="shared" si="68"/>
        <v>1.2703297937327105</v>
      </c>
      <c r="AQ101" s="201">
        <f t="shared" si="68"/>
        <v>1.6474589512471087</v>
      </c>
      <c r="AS101" s="237"/>
      <c r="AT101" s="237"/>
      <c r="AU101" s="237"/>
      <c r="AV101" s="237"/>
      <c r="AZ101" s="85"/>
    </row>
    <row r="102" spans="2:52" ht="15.75" thickBot="1" x14ac:dyDescent="0.3">
      <c r="B102" s="192" t="s">
        <v>111</v>
      </c>
      <c r="C102" s="203">
        <f>'Kainos 2026-2028'!G137</f>
        <v>69.52069541411079</v>
      </c>
      <c r="D102" s="204">
        <f t="shared" ref="D102:AQ102" si="69">+$C$102*D91</f>
        <v>32.141417400359444</v>
      </c>
      <c r="E102" s="205">
        <f t="shared" si="69"/>
        <v>15.165987321502936</v>
      </c>
      <c r="F102" s="205">
        <f t="shared" si="69"/>
        <v>10.732852565986693</v>
      </c>
      <c r="G102" s="206">
        <f t="shared" si="69"/>
        <v>28.693952778454225</v>
      </c>
      <c r="H102" s="204">
        <f t="shared" si="69"/>
        <v>15.32217080161135</v>
      </c>
      <c r="I102" s="205">
        <f t="shared" si="69"/>
        <v>10.879512663161668</v>
      </c>
      <c r="J102" s="205">
        <f t="shared" si="69"/>
        <v>12.310877118057673</v>
      </c>
      <c r="K102" s="205">
        <f t="shared" si="69"/>
        <v>7.628229729685307</v>
      </c>
      <c r="L102" s="205">
        <f t="shared" si="69"/>
        <v>6.1997222896693316</v>
      </c>
      <c r="M102" s="205">
        <f t="shared" si="69"/>
        <v>4.5426536592508011</v>
      </c>
      <c r="N102" s="205">
        <f t="shared" si="69"/>
        <v>3.8084008350825895</v>
      </c>
      <c r="O102" s="205">
        <f t="shared" si="69"/>
        <v>4.2512381414875415</v>
      </c>
      <c r="P102" s="205">
        <f t="shared" si="69"/>
        <v>4.7997849984536769</v>
      </c>
      <c r="Q102" s="205">
        <f t="shared" si="69"/>
        <v>8.679611205537066</v>
      </c>
      <c r="R102" s="205">
        <f t="shared" si="69"/>
        <v>10.97093713932269</v>
      </c>
      <c r="S102" s="206">
        <f t="shared" si="69"/>
        <v>14.702198572644416</v>
      </c>
      <c r="T102" s="204">
        <f t="shared" si="69"/>
        <v>0.98852714849105483</v>
      </c>
      <c r="U102" s="205">
        <f t="shared" si="69"/>
        <v>0.77710804736869066</v>
      </c>
      <c r="V102" s="205">
        <f t="shared" si="69"/>
        <v>0.79425013664888222</v>
      </c>
      <c r="W102" s="205">
        <f t="shared" si="69"/>
        <v>0.50854864864568727</v>
      </c>
      <c r="X102" s="205">
        <f t="shared" si="69"/>
        <v>0.39998208320447304</v>
      </c>
      <c r="Y102" s="205">
        <f t="shared" si="69"/>
        <v>0.30284357728338673</v>
      </c>
      <c r="Z102" s="205">
        <f t="shared" si="69"/>
        <v>0.24570327968274774</v>
      </c>
      <c r="AA102" s="205">
        <f t="shared" si="69"/>
        <v>0.27427342848306724</v>
      </c>
      <c r="AB102" s="205">
        <f t="shared" si="69"/>
        <v>0.31998566656357852</v>
      </c>
      <c r="AC102" s="205">
        <f t="shared" si="69"/>
        <v>0.5599749164862623</v>
      </c>
      <c r="AD102" s="205">
        <f t="shared" si="69"/>
        <v>0.73139580928817938</v>
      </c>
      <c r="AE102" s="206">
        <f t="shared" si="69"/>
        <v>0.94852894017060752</v>
      </c>
      <c r="AF102" s="207">
        <f t="shared" si="69"/>
        <v>0.98852714849105483</v>
      </c>
      <c r="AG102" s="205">
        <f t="shared" si="69"/>
        <v>0.77710804736869066</v>
      </c>
      <c r="AH102" s="205">
        <f t="shared" si="69"/>
        <v>0.79425013664888222</v>
      </c>
      <c r="AI102" s="205">
        <f t="shared" si="69"/>
        <v>0.50854864864568727</v>
      </c>
      <c r="AJ102" s="205">
        <f t="shared" si="69"/>
        <v>0.39998208320447304</v>
      </c>
      <c r="AK102" s="205">
        <f t="shared" si="69"/>
        <v>0.30284357728338673</v>
      </c>
      <c r="AL102" s="205">
        <f t="shared" si="69"/>
        <v>0.24570327968274774</v>
      </c>
      <c r="AM102" s="205">
        <f t="shared" si="69"/>
        <v>0.27427342848306724</v>
      </c>
      <c r="AN102" s="205">
        <f t="shared" si="69"/>
        <v>0.31998566656357852</v>
      </c>
      <c r="AO102" s="205">
        <f t="shared" si="69"/>
        <v>0.5599749164862623</v>
      </c>
      <c r="AP102" s="205">
        <f t="shared" si="69"/>
        <v>0.73139580928817938</v>
      </c>
      <c r="AQ102" s="208">
        <f t="shared" si="69"/>
        <v>0.94852894017060752</v>
      </c>
      <c r="AS102" s="237"/>
      <c r="AT102" s="73"/>
      <c r="AU102" s="73"/>
      <c r="AZ102" s="85"/>
    </row>
    <row r="103" spans="2:52" ht="15.75" x14ac:dyDescent="0.25">
      <c r="B103" s="382" t="s">
        <v>128</v>
      </c>
      <c r="C103" s="383"/>
      <c r="D103" s="383"/>
      <c r="E103" s="383"/>
      <c r="F103" s="383"/>
      <c r="G103" s="383"/>
      <c r="H103" s="383"/>
      <c r="I103" s="383"/>
      <c r="J103" s="383"/>
      <c r="K103" s="383"/>
      <c r="L103" s="383"/>
      <c r="M103" s="383"/>
      <c r="N103" s="383"/>
      <c r="O103" s="383"/>
      <c r="P103" s="383"/>
      <c r="Q103" s="383"/>
      <c r="R103" s="383"/>
      <c r="S103" s="383"/>
      <c r="T103" s="383"/>
      <c r="U103" s="383"/>
      <c r="V103" s="383"/>
      <c r="W103" s="383"/>
      <c r="X103" s="383"/>
      <c r="Y103" s="383"/>
      <c r="Z103" s="383"/>
      <c r="AA103" s="383"/>
      <c r="AB103" s="383"/>
      <c r="AC103" s="383"/>
      <c r="AD103" s="383"/>
      <c r="AE103" s="383"/>
      <c r="AF103" s="383"/>
      <c r="AG103" s="383"/>
      <c r="AH103" s="383"/>
      <c r="AI103" s="383"/>
      <c r="AJ103" s="383"/>
      <c r="AK103" s="383"/>
      <c r="AL103" s="383"/>
      <c r="AM103" s="383"/>
      <c r="AN103" s="383"/>
      <c r="AO103" s="383"/>
      <c r="AP103" s="383"/>
      <c r="AQ103" s="384"/>
      <c r="AT103" s="73"/>
      <c r="AU103" s="73"/>
    </row>
    <row r="104" spans="2:52" ht="14.45" customHeight="1" x14ac:dyDescent="0.25">
      <c r="B104" s="190"/>
      <c r="C104" s="380" t="s">
        <v>112</v>
      </c>
      <c r="D104" s="376" t="s">
        <v>97</v>
      </c>
      <c r="E104" s="377"/>
      <c r="F104" s="377"/>
      <c r="G104" s="378"/>
      <c r="H104" s="376" t="s">
        <v>98</v>
      </c>
      <c r="I104" s="377"/>
      <c r="J104" s="377"/>
      <c r="K104" s="377"/>
      <c r="L104" s="377"/>
      <c r="M104" s="377"/>
      <c r="N104" s="377"/>
      <c r="O104" s="377"/>
      <c r="P104" s="377"/>
      <c r="Q104" s="377"/>
      <c r="R104" s="377"/>
      <c r="S104" s="378"/>
      <c r="T104" s="376" t="s">
        <v>99</v>
      </c>
      <c r="U104" s="377"/>
      <c r="V104" s="377"/>
      <c r="W104" s="377"/>
      <c r="X104" s="377"/>
      <c r="Y104" s="377"/>
      <c r="Z104" s="377"/>
      <c r="AA104" s="377"/>
      <c r="AB104" s="377"/>
      <c r="AC104" s="377"/>
      <c r="AD104" s="377"/>
      <c r="AE104" s="378"/>
      <c r="AF104" s="376" t="s">
        <v>100</v>
      </c>
      <c r="AG104" s="377"/>
      <c r="AH104" s="377"/>
      <c r="AI104" s="377"/>
      <c r="AJ104" s="377"/>
      <c r="AK104" s="377"/>
      <c r="AL104" s="377"/>
      <c r="AM104" s="377"/>
      <c r="AN104" s="377"/>
      <c r="AO104" s="377"/>
      <c r="AP104" s="377"/>
      <c r="AQ104" s="379"/>
    </row>
    <row r="105" spans="2:52" x14ac:dyDescent="0.25">
      <c r="B105" s="189" t="s">
        <v>113</v>
      </c>
      <c r="C105" s="381"/>
      <c r="D105" s="331" t="s">
        <v>9</v>
      </c>
      <c r="E105" s="332" t="s">
        <v>10</v>
      </c>
      <c r="F105" s="332" t="s">
        <v>11</v>
      </c>
      <c r="G105" s="333" t="s">
        <v>12</v>
      </c>
      <c r="H105" s="173" t="s">
        <v>35</v>
      </c>
      <c r="I105" s="165" t="s">
        <v>36</v>
      </c>
      <c r="J105" s="165" t="s">
        <v>37</v>
      </c>
      <c r="K105" s="165" t="s">
        <v>38</v>
      </c>
      <c r="L105" s="165" t="s">
        <v>39</v>
      </c>
      <c r="M105" s="165" t="s">
        <v>40</v>
      </c>
      <c r="N105" s="165" t="s">
        <v>41</v>
      </c>
      <c r="O105" s="165" t="s">
        <v>42</v>
      </c>
      <c r="P105" s="165" t="s">
        <v>43</v>
      </c>
      <c r="Q105" s="165" t="s">
        <v>44</v>
      </c>
      <c r="R105" s="165" t="s">
        <v>45</v>
      </c>
      <c r="S105" s="183" t="s">
        <v>46</v>
      </c>
      <c r="T105" s="173" t="s">
        <v>35</v>
      </c>
      <c r="U105" s="165" t="s">
        <v>36</v>
      </c>
      <c r="V105" s="165" t="s">
        <v>37</v>
      </c>
      <c r="W105" s="165" t="s">
        <v>38</v>
      </c>
      <c r="X105" s="165" t="s">
        <v>39</v>
      </c>
      <c r="Y105" s="165" t="s">
        <v>40</v>
      </c>
      <c r="Z105" s="165" t="s">
        <v>41</v>
      </c>
      <c r="AA105" s="165" t="s">
        <v>42</v>
      </c>
      <c r="AB105" s="165" t="s">
        <v>43</v>
      </c>
      <c r="AC105" s="165" t="s">
        <v>44</v>
      </c>
      <c r="AD105" s="165" t="s">
        <v>45</v>
      </c>
      <c r="AE105" s="183" t="s">
        <v>46</v>
      </c>
      <c r="AF105" s="174" t="s">
        <v>35</v>
      </c>
      <c r="AG105" s="165" t="s">
        <v>36</v>
      </c>
      <c r="AH105" s="165" t="s">
        <v>37</v>
      </c>
      <c r="AI105" s="165" t="s">
        <v>38</v>
      </c>
      <c r="AJ105" s="165" t="s">
        <v>39</v>
      </c>
      <c r="AK105" s="165" t="s">
        <v>40</v>
      </c>
      <c r="AL105" s="165" t="s">
        <v>41</v>
      </c>
      <c r="AM105" s="165" t="s">
        <v>42</v>
      </c>
      <c r="AN105" s="165" t="s">
        <v>43</v>
      </c>
      <c r="AO105" s="165" t="s">
        <v>44</v>
      </c>
      <c r="AP105" s="165" t="s">
        <v>45</v>
      </c>
      <c r="AQ105" s="334" t="s">
        <v>46</v>
      </c>
    </row>
    <row r="106" spans="2:52" x14ac:dyDescent="0.25">
      <c r="B106" s="189" t="s">
        <v>114</v>
      </c>
      <c r="C106" s="381"/>
      <c r="D106" s="142">
        <f>1/$C$14*D14*$D$24</f>
        <v>0.27123287671232882</v>
      </c>
      <c r="E106" s="142">
        <f>1/$C$14*E14*$D$24</f>
        <v>0.27424657534246577</v>
      </c>
      <c r="F106" s="142">
        <f>1/$C$14*F14*$D$24</f>
        <v>0.27726027397260278</v>
      </c>
      <c r="G106" s="142">
        <f>1/$C$14*G14*$D$24</f>
        <v>0.27726027397260278</v>
      </c>
      <c r="H106" s="149">
        <f t="shared" ref="H106:S106" si="70">1/$C$14*H14*$E$24</f>
        <v>0.10616438356164383</v>
      </c>
      <c r="I106" s="142">
        <f t="shared" si="70"/>
        <v>9.5890410958904118E-2</v>
      </c>
      <c r="J106" s="142">
        <f t="shared" si="70"/>
        <v>0.10616438356164383</v>
      </c>
      <c r="K106" s="142">
        <f t="shared" si="70"/>
        <v>0.10273972602739725</v>
      </c>
      <c r="L106" s="142">
        <f t="shared" si="70"/>
        <v>0.10616438356164383</v>
      </c>
      <c r="M106" s="142">
        <f t="shared" si="70"/>
        <v>0.10273972602739725</v>
      </c>
      <c r="N106" s="142">
        <f t="shared" si="70"/>
        <v>0.10616438356164383</v>
      </c>
      <c r="O106" s="142">
        <f t="shared" si="70"/>
        <v>0.10616438356164383</v>
      </c>
      <c r="P106" s="142">
        <f t="shared" si="70"/>
        <v>0.10273972602739725</v>
      </c>
      <c r="Q106" s="142">
        <f t="shared" si="70"/>
        <v>0.10616438356164383</v>
      </c>
      <c r="R106" s="142">
        <f t="shared" si="70"/>
        <v>0.10273972602739725</v>
      </c>
      <c r="S106" s="144">
        <f t="shared" si="70"/>
        <v>0.10616438356164383</v>
      </c>
      <c r="T106" s="147">
        <f t="shared" ref="T106:AE106" si="71">1/$C$14*$F$24</f>
        <v>4.1095890410958909E-3</v>
      </c>
      <c r="U106" s="142">
        <f t="shared" si="71"/>
        <v>4.1095890410958909E-3</v>
      </c>
      <c r="V106" s="142">
        <f t="shared" si="71"/>
        <v>4.1095890410958909E-3</v>
      </c>
      <c r="W106" s="142">
        <f t="shared" si="71"/>
        <v>4.1095890410958909E-3</v>
      </c>
      <c r="X106" s="142">
        <f t="shared" si="71"/>
        <v>4.1095890410958909E-3</v>
      </c>
      <c r="Y106" s="142">
        <f t="shared" si="71"/>
        <v>4.1095890410958909E-3</v>
      </c>
      <c r="Z106" s="142">
        <f t="shared" si="71"/>
        <v>4.1095890410958909E-3</v>
      </c>
      <c r="AA106" s="142">
        <f t="shared" si="71"/>
        <v>4.1095890410958909E-3</v>
      </c>
      <c r="AB106" s="142">
        <f t="shared" si="71"/>
        <v>4.1095890410958909E-3</v>
      </c>
      <c r="AC106" s="142">
        <f t="shared" si="71"/>
        <v>4.1095890410958909E-3</v>
      </c>
      <c r="AD106" s="142">
        <f t="shared" si="71"/>
        <v>4.1095890410958909E-3</v>
      </c>
      <c r="AE106" s="144">
        <f t="shared" si="71"/>
        <v>4.1095890410958909E-3</v>
      </c>
      <c r="AF106" s="142">
        <f t="shared" ref="AF106:AQ106" si="72">1/$C$14*$G$24</f>
        <v>4.6575342465753422E-3</v>
      </c>
      <c r="AG106" s="142">
        <f t="shared" si="72"/>
        <v>4.6575342465753422E-3</v>
      </c>
      <c r="AH106" s="142">
        <f t="shared" si="72"/>
        <v>4.6575342465753422E-3</v>
      </c>
      <c r="AI106" s="142">
        <f t="shared" si="72"/>
        <v>4.6575342465753422E-3</v>
      </c>
      <c r="AJ106" s="142">
        <f t="shared" si="72"/>
        <v>4.6575342465753422E-3</v>
      </c>
      <c r="AK106" s="142">
        <f t="shared" si="72"/>
        <v>4.6575342465753422E-3</v>
      </c>
      <c r="AL106" s="142">
        <f t="shared" si="72"/>
        <v>4.6575342465753422E-3</v>
      </c>
      <c r="AM106" s="142">
        <f t="shared" si="72"/>
        <v>4.6575342465753422E-3</v>
      </c>
      <c r="AN106" s="142">
        <f t="shared" si="72"/>
        <v>4.6575342465753422E-3</v>
      </c>
      <c r="AO106" s="142">
        <f t="shared" si="72"/>
        <v>4.6575342465753422E-3</v>
      </c>
      <c r="AP106" s="142">
        <f t="shared" si="72"/>
        <v>4.6575342465753422E-3</v>
      </c>
      <c r="AQ106" s="200">
        <f t="shared" si="72"/>
        <v>4.6575342465753422E-3</v>
      </c>
    </row>
    <row r="107" spans="2:52" x14ac:dyDescent="0.25">
      <c r="B107" s="189" t="s">
        <v>115</v>
      </c>
      <c r="C107" s="381"/>
      <c r="D107" s="142">
        <f>1/$C$14*D14*$H$24</f>
        <v>0.27123287671232882</v>
      </c>
      <c r="E107" s="142">
        <f>1/$C$14*E14*$H$24</f>
        <v>0.27424657534246577</v>
      </c>
      <c r="F107" s="142">
        <f>1/$C$14*F14*$H$24</f>
        <v>0.27726027397260278</v>
      </c>
      <c r="G107" s="142">
        <f>1/$C$14*G14*$H$24</f>
        <v>0.27726027397260278</v>
      </c>
      <c r="H107" s="149">
        <f t="shared" ref="H107:S107" si="73">1/$C$14*H14*$I$24</f>
        <v>0.10616438356164383</v>
      </c>
      <c r="I107" s="142">
        <f t="shared" si="73"/>
        <v>9.5890410958904118E-2</v>
      </c>
      <c r="J107" s="142">
        <f t="shared" si="73"/>
        <v>0.10616438356164383</v>
      </c>
      <c r="K107" s="142">
        <f t="shared" si="73"/>
        <v>0.10273972602739725</v>
      </c>
      <c r="L107" s="142">
        <f t="shared" si="73"/>
        <v>0.10616438356164383</v>
      </c>
      <c r="M107" s="142">
        <f t="shared" si="73"/>
        <v>0.10273972602739725</v>
      </c>
      <c r="N107" s="142">
        <f t="shared" si="73"/>
        <v>0.10616438356164383</v>
      </c>
      <c r="O107" s="142">
        <f t="shared" si="73"/>
        <v>0.10616438356164383</v>
      </c>
      <c r="P107" s="142">
        <f t="shared" si="73"/>
        <v>0.10273972602739725</v>
      </c>
      <c r="Q107" s="142">
        <f t="shared" si="73"/>
        <v>0.10616438356164383</v>
      </c>
      <c r="R107" s="142">
        <f t="shared" si="73"/>
        <v>0.10273972602739725</v>
      </c>
      <c r="S107" s="144">
        <f t="shared" si="73"/>
        <v>0.10616438356164383</v>
      </c>
      <c r="T107" s="147">
        <f t="shared" ref="T107:AE107" si="74">1/$C$14*$J$24</f>
        <v>4.1095890410958909E-3</v>
      </c>
      <c r="U107" s="142">
        <f t="shared" si="74"/>
        <v>4.1095890410958909E-3</v>
      </c>
      <c r="V107" s="142">
        <f t="shared" si="74"/>
        <v>4.1095890410958909E-3</v>
      </c>
      <c r="W107" s="142">
        <f t="shared" si="74"/>
        <v>4.1095890410958909E-3</v>
      </c>
      <c r="X107" s="142">
        <f t="shared" si="74"/>
        <v>4.1095890410958909E-3</v>
      </c>
      <c r="Y107" s="142">
        <f t="shared" si="74"/>
        <v>4.1095890410958909E-3</v>
      </c>
      <c r="Z107" s="142">
        <f t="shared" si="74"/>
        <v>4.1095890410958909E-3</v>
      </c>
      <c r="AA107" s="142">
        <f t="shared" si="74"/>
        <v>4.1095890410958909E-3</v>
      </c>
      <c r="AB107" s="142">
        <f t="shared" si="74"/>
        <v>4.1095890410958909E-3</v>
      </c>
      <c r="AC107" s="142">
        <f t="shared" si="74"/>
        <v>4.1095890410958909E-3</v>
      </c>
      <c r="AD107" s="142">
        <f t="shared" si="74"/>
        <v>4.1095890410958909E-3</v>
      </c>
      <c r="AE107" s="144">
        <f t="shared" si="74"/>
        <v>4.1095890410958909E-3</v>
      </c>
      <c r="AF107" s="142">
        <f t="shared" ref="AF107:AQ107" si="75">1/$C$14*$K$24</f>
        <v>4.6575342465753422E-3</v>
      </c>
      <c r="AG107" s="142">
        <f t="shared" si="75"/>
        <v>4.6575342465753422E-3</v>
      </c>
      <c r="AH107" s="142">
        <f t="shared" si="75"/>
        <v>4.6575342465753422E-3</v>
      </c>
      <c r="AI107" s="142">
        <f t="shared" si="75"/>
        <v>4.6575342465753422E-3</v>
      </c>
      <c r="AJ107" s="142">
        <f t="shared" si="75"/>
        <v>4.6575342465753422E-3</v>
      </c>
      <c r="AK107" s="142">
        <f t="shared" si="75"/>
        <v>4.6575342465753422E-3</v>
      </c>
      <c r="AL107" s="142">
        <f t="shared" si="75"/>
        <v>4.6575342465753422E-3</v>
      </c>
      <c r="AM107" s="142">
        <f t="shared" si="75"/>
        <v>4.6575342465753422E-3</v>
      </c>
      <c r="AN107" s="142">
        <f t="shared" si="75"/>
        <v>4.6575342465753422E-3</v>
      </c>
      <c r="AO107" s="142">
        <f t="shared" si="75"/>
        <v>4.6575342465753422E-3</v>
      </c>
      <c r="AP107" s="142">
        <f t="shared" si="75"/>
        <v>4.6575342465753422E-3</v>
      </c>
      <c r="AQ107" s="200">
        <f t="shared" si="75"/>
        <v>4.6575342465753422E-3</v>
      </c>
    </row>
    <row r="108" spans="2:52" x14ac:dyDescent="0.25">
      <c r="B108" s="189" t="s">
        <v>116</v>
      </c>
      <c r="C108" s="381"/>
      <c r="D108" s="142">
        <f>1/$C$14*D14*$L$24*D45</f>
        <v>0.45616438356164385</v>
      </c>
      <c r="E108" s="142">
        <f>1/$C$14*E14*$L$24*E45</f>
        <v>0.22126712328767123</v>
      </c>
      <c r="F108" s="142">
        <f>1/$C$14*F14*$L$24*F45</f>
        <v>0.15123287671232877</v>
      </c>
      <c r="G108" s="142">
        <f>1/$C$14*G14*$L$24*G45</f>
        <v>0.41904109589041105</v>
      </c>
      <c r="H108" s="149">
        <f t="shared" ref="H108:S108" si="76">1/$C$14*H14*$M$24*H45</f>
        <v>0.21402739726027398</v>
      </c>
      <c r="I108" s="142">
        <f t="shared" si="76"/>
        <v>0.15073972602739727</v>
      </c>
      <c r="J108" s="142">
        <f t="shared" si="76"/>
        <v>0.186</v>
      </c>
      <c r="K108" s="142">
        <f t="shared" si="76"/>
        <v>0.11465753424657535</v>
      </c>
      <c r="L108" s="142">
        <f t="shared" si="76"/>
        <v>8.4082191780821922E-2</v>
      </c>
      <c r="M108" s="142">
        <f t="shared" si="76"/>
        <v>6.9041095890410964E-2</v>
      </c>
      <c r="N108" s="142">
        <f t="shared" si="76"/>
        <v>5.8602739726027399E-2</v>
      </c>
      <c r="O108" s="142">
        <f t="shared" si="76"/>
        <v>6.3698630136986303E-2</v>
      </c>
      <c r="P108" s="142">
        <f t="shared" si="76"/>
        <v>5.7945205479452047E-2</v>
      </c>
      <c r="Q108" s="142">
        <f t="shared" si="76"/>
        <v>0.11975342465753425</v>
      </c>
      <c r="R108" s="142">
        <f t="shared" si="76"/>
        <v>0.16027397260273973</v>
      </c>
      <c r="S108" s="144">
        <f t="shared" si="76"/>
        <v>0.22167123287671234</v>
      </c>
      <c r="T108" s="147">
        <f t="shared" ref="T108:AE108" si="77">1/$C$14*$N$24*T45</f>
        <v>1.3808219178082193E-2</v>
      </c>
      <c r="U108" s="142">
        <f t="shared" si="77"/>
        <v>1.0767123287671234E-2</v>
      </c>
      <c r="V108" s="142">
        <f t="shared" si="77"/>
        <v>1.2E-2</v>
      </c>
      <c r="W108" s="142">
        <f t="shared" si="77"/>
        <v>7.6438356164383577E-3</v>
      </c>
      <c r="X108" s="142">
        <f t="shared" si="77"/>
        <v>5.4246575342465761E-3</v>
      </c>
      <c r="Y108" s="142">
        <f t="shared" si="77"/>
        <v>4.6027397260273986E-3</v>
      </c>
      <c r="Z108" s="142">
        <f t="shared" si="77"/>
        <v>3.7808219178082198E-3</v>
      </c>
      <c r="AA108" s="142">
        <f t="shared" si="77"/>
        <v>4.1095890410958909E-3</v>
      </c>
      <c r="AB108" s="142">
        <f t="shared" si="77"/>
        <v>3.863013698630137E-3</v>
      </c>
      <c r="AC108" s="142">
        <f t="shared" si="77"/>
        <v>7.7260273972602741E-3</v>
      </c>
      <c r="AD108" s="142">
        <f t="shared" si="77"/>
        <v>1.0684931506849316E-2</v>
      </c>
      <c r="AE108" s="144">
        <f t="shared" si="77"/>
        <v>1.43013698630137E-2</v>
      </c>
      <c r="AF108" s="142">
        <f t="shared" ref="AF108:AQ108" si="78">1/$C$14*$N$24*T45</f>
        <v>1.3808219178082193E-2</v>
      </c>
      <c r="AG108" s="142">
        <f t="shared" si="78"/>
        <v>1.0767123287671234E-2</v>
      </c>
      <c r="AH108" s="142">
        <f t="shared" si="78"/>
        <v>1.2E-2</v>
      </c>
      <c r="AI108" s="142">
        <f t="shared" si="78"/>
        <v>7.6438356164383577E-3</v>
      </c>
      <c r="AJ108" s="142">
        <f t="shared" si="78"/>
        <v>5.4246575342465761E-3</v>
      </c>
      <c r="AK108" s="142">
        <f t="shared" si="78"/>
        <v>4.6027397260273986E-3</v>
      </c>
      <c r="AL108" s="142">
        <f t="shared" si="78"/>
        <v>3.7808219178082198E-3</v>
      </c>
      <c r="AM108" s="142">
        <f t="shared" si="78"/>
        <v>4.1095890410958909E-3</v>
      </c>
      <c r="AN108" s="142">
        <f t="shared" si="78"/>
        <v>3.863013698630137E-3</v>
      </c>
      <c r="AO108" s="142">
        <f t="shared" si="78"/>
        <v>7.7260273972602741E-3</v>
      </c>
      <c r="AP108" s="142">
        <f t="shared" si="78"/>
        <v>1.0684931506849316E-2</v>
      </c>
      <c r="AQ108" s="200">
        <f t="shared" si="78"/>
        <v>1.43013698630137E-2</v>
      </c>
    </row>
    <row r="109" spans="2:52" x14ac:dyDescent="0.25">
      <c r="B109" s="189" t="s">
        <v>117</v>
      </c>
      <c r="C109" s="381"/>
      <c r="D109" s="149">
        <f>1/$C$14*D14*$L$24*D35</f>
        <v>0.45616438356164385</v>
      </c>
      <c r="E109" s="142">
        <f>1/$C$14*E14*$L$24*E35</f>
        <v>0.22126712328767123</v>
      </c>
      <c r="F109" s="142">
        <f>1/$C$14*F14*$L$24*F35</f>
        <v>0.15123287671232877</v>
      </c>
      <c r="G109" s="142">
        <f>1/$C$14*G14*$L$24*G35</f>
        <v>0.41904109589041105</v>
      </c>
      <c r="H109" s="149">
        <f t="shared" ref="H109:S109" si="79">1/$C$14*H14*$M$24*H35</f>
        <v>0.21402739726027398</v>
      </c>
      <c r="I109" s="142">
        <f t="shared" si="79"/>
        <v>0.15073972602739727</v>
      </c>
      <c r="J109" s="142">
        <f t="shared" si="79"/>
        <v>0.186</v>
      </c>
      <c r="K109" s="142">
        <f t="shared" si="79"/>
        <v>0.11465753424657535</v>
      </c>
      <c r="L109" s="142">
        <f t="shared" si="79"/>
        <v>8.4082191780821922E-2</v>
      </c>
      <c r="M109" s="142">
        <f t="shared" si="79"/>
        <v>6.9041095890410964E-2</v>
      </c>
      <c r="N109" s="142">
        <f t="shared" si="79"/>
        <v>5.8602739726027399E-2</v>
      </c>
      <c r="O109" s="142">
        <f t="shared" si="79"/>
        <v>6.3698630136986303E-2</v>
      </c>
      <c r="P109" s="142">
        <f t="shared" si="79"/>
        <v>5.7945205479452047E-2</v>
      </c>
      <c r="Q109" s="142">
        <f t="shared" si="79"/>
        <v>0.11975342465753425</v>
      </c>
      <c r="R109" s="142">
        <f t="shared" si="79"/>
        <v>0.16027397260273973</v>
      </c>
      <c r="S109" s="144">
        <f t="shared" si="79"/>
        <v>0.22167123287671234</v>
      </c>
      <c r="T109" s="147">
        <f t="shared" ref="T109:AE109" si="80">1/$C$14*$N$24*T35</f>
        <v>1.3808219178082193E-2</v>
      </c>
      <c r="U109" s="147">
        <f t="shared" si="80"/>
        <v>1.0767123287671234E-2</v>
      </c>
      <c r="V109" s="147">
        <f t="shared" si="80"/>
        <v>1.2E-2</v>
      </c>
      <c r="W109" s="147">
        <f t="shared" si="80"/>
        <v>7.6438356164383577E-3</v>
      </c>
      <c r="X109" s="147">
        <f t="shared" si="80"/>
        <v>5.4246575342465761E-3</v>
      </c>
      <c r="Y109" s="147">
        <f t="shared" si="80"/>
        <v>4.6027397260273986E-3</v>
      </c>
      <c r="Z109" s="147">
        <f t="shared" si="80"/>
        <v>3.7808219178082198E-3</v>
      </c>
      <c r="AA109" s="147">
        <f t="shared" si="80"/>
        <v>4.1095890410958909E-3</v>
      </c>
      <c r="AB109" s="147">
        <f t="shared" si="80"/>
        <v>3.863013698630137E-3</v>
      </c>
      <c r="AC109" s="147">
        <f t="shared" si="80"/>
        <v>7.7260273972602741E-3</v>
      </c>
      <c r="AD109" s="147">
        <f t="shared" si="80"/>
        <v>1.0684931506849316E-2</v>
      </c>
      <c r="AE109" s="144">
        <f t="shared" si="80"/>
        <v>1.43013698630137E-2</v>
      </c>
      <c r="AF109" s="147">
        <f t="shared" ref="AF109:AQ109" si="81">1/$C$14*$N$24*T35</f>
        <v>1.3808219178082193E-2</v>
      </c>
      <c r="AG109" s="147">
        <f t="shared" si="81"/>
        <v>1.0767123287671234E-2</v>
      </c>
      <c r="AH109" s="147">
        <f t="shared" si="81"/>
        <v>1.2E-2</v>
      </c>
      <c r="AI109" s="147">
        <f t="shared" si="81"/>
        <v>7.6438356164383577E-3</v>
      </c>
      <c r="AJ109" s="147">
        <f t="shared" si="81"/>
        <v>5.4246575342465761E-3</v>
      </c>
      <c r="AK109" s="147">
        <f t="shared" si="81"/>
        <v>4.6027397260273986E-3</v>
      </c>
      <c r="AL109" s="147">
        <f t="shared" si="81"/>
        <v>3.7808219178082198E-3</v>
      </c>
      <c r="AM109" s="147">
        <f t="shared" si="81"/>
        <v>4.1095890410958909E-3</v>
      </c>
      <c r="AN109" s="147">
        <f t="shared" si="81"/>
        <v>3.863013698630137E-3</v>
      </c>
      <c r="AO109" s="147">
        <f t="shared" si="81"/>
        <v>7.7260273972602741E-3</v>
      </c>
      <c r="AP109" s="147">
        <f t="shared" si="81"/>
        <v>1.0684931506849316E-2</v>
      </c>
      <c r="AQ109" s="200">
        <f t="shared" si="81"/>
        <v>1.43013698630137E-2</v>
      </c>
    </row>
    <row r="110" spans="2:52" x14ac:dyDescent="0.25">
      <c r="B110" s="190" t="s">
        <v>101</v>
      </c>
      <c r="C110" s="159">
        <f>'Kainos 2026-2028'!H124</f>
        <v>142.77000000000001</v>
      </c>
      <c r="D110" s="150">
        <f t="shared" ref="D110:AQ110" si="82">$C$110*D106</f>
        <v>38.723917808219191</v>
      </c>
      <c r="E110" s="141">
        <f t="shared" si="82"/>
        <v>39.154183561643841</v>
      </c>
      <c r="F110" s="141">
        <f t="shared" si="82"/>
        <v>39.584449315068504</v>
      </c>
      <c r="G110" s="145">
        <f t="shared" si="82"/>
        <v>39.584449315068504</v>
      </c>
      <c r="H110" s="150">
        <f t="shared" si="82"/>
        <v>15.15708904109589</v>
      </c>
      <c r="I110" s="141">
        <f t="shared" si="82"/>
        <v>13.690273972602743</v>
      </c>
      <c r="J110" s="141">
        <f t="shared" si="82"/>
        <v>15.15708904109589</v>
      </c>
      <c r="K110" s="141">
        <f t="shared" si="82"/>
        <v>14.668150684931508</v>
      </c>
      <c r="L110" s="141">
        <f t="shared" si="82"/>
        <v>15.15708904109589</v>
      </c>
      <c r="M110" s="141">
        <f t="shared" si="82"/>
        <v>14.668150684931508</v>
      </c>
      <c r="N110" s="141">
        <f t="shared" si="82"/>
        <v>15.15708904109589</v>
      </c>
      <c r="O110" s="141">
        <f t="shared" si="82"/>
        <v>15.15708904109589</v>
      </c>
      <c r="P110" s="141">
        <f t="shared" si="82"/>
        <v>14.668150684931508</v>
      </c>
      <c r="Q110" s="141">
        <f t="shared" si="82"/>
        <v>15.15708904109589</v>
      </c>
      <c r="R110" s="141">
        <f t="shared" si="82"/>
        <v>14.668150684931508</v>
      </c>
      <c r="S110" s="145">
        <f t="shared" si="82"/>
        <v>15.15708904109589</v>
      </c>
      <c r="T110" s="150">
        <f t="shared" si="82"/>
        <v>0.58672602739726043</v>
      </c>
      <c r="U110" s="141">
        <f t="shared" si="82"/>
        <v>0.58672602739726043</v>
      </c>
      <c r="V110" s="141">
        <f t="shared" si="82"/>
        <v>0.58672602739726043</v>
      </c>
      <c r="W110" s="141">
        <f t="shared" si="82"/>
        <v>0.58672602739726043</v>
      </c>
      <c r="X110" s="141">
        <f t="shared" si="82"/>
        <v>0.58672602739726043</v>
      </c>
      <c r="Y110" s="141">
        <f t="shared" si="82"/>
        <v>0.58672602739726043</v>
      </c>
      <c r="Z110" s="141">
        <f t="shared" si="82"/>
        <v>0.58672602739726043</v>
      </c>
      <c r="AA110" s="141">
        <f t="shared" si="82"/>
        <v>0.58672602739726043</v>
      </c>
      <c r="AB110" s="141">
        <f t="shared" si="82"/>
        <v>0.58672602739726043</v>
      </c>
      <c r="AC110" s="141">
        <f t="shared" si="82"/>
        <v>0.58672602739726043</v>
      </c>
      <c r="AD110" s="141">
        <f t="shared" si="82"/>
        <v>0.58672602739726043</v>
      </c>
      <c r="AE110" s="145">
        <f t="shared" si="82"/>
        <v>0.58672602739726043</v>
      </c>
      <c r="AF110" s="148">
        <f t="shared" si="82"/>
        <v>0.66495616438356164</v>
      </c>
      <c r="AG110" s="141">
        <f t="shared" si="82"/>
        <v>0.66495616438356164</v>
      </c>
      <c r="AH110" s="141">
        <f t="shared" si="82"/>
        <v>0.66495616438356164</v>
      </c>
      <c r="AI110" s="141">
        <f t="shared" si="82"/>
        <v>0.66495616438356164</v>
      </c>
      <c r="AJ110" s="141">
        <f t="shared" si="82"/>
        <v>0.66495616438356164</v>
      </c>
      <c r="AK110" s="141">
        <f t="shared" si="82"/>
        <v>0.66495616438356164</v>
      </c>
      <c r="AL110" s="141">
        <f t="shared" si="82"/>
        <v>0.66495616438356164</v>
      </c>
      <c r="AM110" s="141">
        <f t="shared" si="82"/>
        <v>0.66495616438356164</v>
      </c>
      <c r="AN110" s="141">
        <f t="shared" si="82"/>
        <v>0.66495616438356164</v>
      </c>
      <c r="AO110" s="141">
        <f t="shared" si="82"/>
        <v>0.66495616438356164</v>
      </c>
      <c r="AP110" s="141">
        <f t="shared" si="82"/>
        <v>0.66495616438356164</v>
      </c>
      <c r="AQ110" s="201">
        <f t="shared" si="82"/>
        <v>0.66495616438356164</v>
      </c>
      <c r="AS110" s="75" t="s">
        <v>23</v>
      </c>
    </row>
    <row r="111" spans="2:52" x14ac:dyDescent="0.25">
      <c r="B111" s="213" t="s">
        <v>102</v>
      </c>
      <c r="C111" s="159">
        <f>'Kainos 2026-2028'!H125</f>
        <v>0</v>
      </c>
      <c r="D111" s="150">
        <f t="shared" ref="D111:AQ111" si="83">$C$111*D107</f>
        <v>0</v>
      </c>
      <c r="E111" s="141">
        <f t="shared" si="83"/>
        <v>0</v>
      </c>
      <c r="F111" s="141">
        <f t="shared" si="83"/>
        <v>0</v>
      </c>
      <c r="G111" s="145">
        <f t="shared" si="83"/>
        <v>0</v>
      </c>
      <c r="H111" s="150">
        <f t="shared" si="83"/>
        <v>0</v>
      </c>
      <c r="I111" s="141">
        <f t="shared" si="83"/>
        <v>0</v>
      </c>
      <c r="J111" s="141">
        <f t="shared" si="83"/>
        <v>0</v>
      </c>
      <c r="K111" s="141">
        <f t="shared" si="83"/>
        <v>0</v>
      </c>
      <c r="L111" s="141">
        <f t="shared" si="83"/>
        <v>0</v>
      </c>
      <c r="M111" s="141">
        <f t="shared" si="83"/>
        <v>0</v>
      </c>
      <c r="N111" s="141">
        <f t="shared" si="83"/>
        <v>0</v>
      </c>
      <c r="O111" s="141">
        <f t="shared" si="83"/>
        <v>0</v>
      </c>
      <c r="P111" s="141">
        <f t="shared" si="83"/>
        <v>0</v>
      </c>
      <c r="Q111" s="141">
        <f t="shared" si="83"/>
        <v>0</v>
      </c>
      <c r="R111" s="141">
        <f t="shared" si="83"/>
        <v>0</v>
      </c>
      <c r="S111" s="145">
        <f t="shared" si="83"/>
        <v>0</v>
      </c>
      <c r="T111" s="150">
        <f t="shared" si="83"/>
        <v>0</v>
      </c>
      <c r="U111" s="141">
        <f t="shared" si="83"/>
        <v>0</v>
      </c>
      <c r="V111" s="141">
        <f t="shared" si="83"/>
        <v>0</v>
      </c>
      <c r="W111" s="141">
        <f t="shared" si="83"/>
        <v>0</v>
      </c>
      <c r="X111" s="141">
        <f t="shared" si="83"/>
        <v>0</v>
      </c>
      <c r="Y111" s="141">
        <f t="shared" si="83"/>
        <v>0</v>
      </c>
      <c r="Z111" s="141">
        <f t="shared" si="83"/>
        <v>0</v>
      </c>
      <c r="AA111" s="141">
        <f t="shared" si="83"/>
        <v>0</v>
      </c>
      <c r="AB111" s="141">
        <f t="shared" si="83"/>
        <v>0</v>
      </c>
      <c r="AC111" s="141">
        <f t="shared" si="83"/>
        <v>0</v>
      </c>
      <c r="AD111" s="141">
        <f t="shared" si="83"/>
        <v>0</v>
      </c>
      <c r="AE111" s="145">
        <f t="shared" si="83"/>
        <v>0</v>
      </c>
      <c r="AF111" s="141">
        <f t="shared" si="83"/>
        <v>0</v>
      </c>
      <c r="AG111" s="141">
        <f t="shared" si="83"/>
        <v>0</v>
      </c>
      <c r="AH111" s="141">
        <f t="shared" si="83"/>
        <v>0</v>
      </c>
      <c r="AI111" s="141">
        <f t="shared" si="83"/>
        <v>0</v>
      </c>
      <c r="AJ111" s="141">
        <f t="shared" si="83"/>
        <v>0</v>
      </c>
      <c r="AK111" s="141">
        <f t="shared" si="83"/>
        <v>0</v>
      </c>
      <c r="AL111" s="141">
        <f t="shared" si="83"/>
        <v>0</v>
      </c>
      <c r="AM111" s="141">
        <f t="shared" si="83"/>
        <v>0</v>
      </c>
      <c r="AN111" s="141">
        <f t="shared" si="83"/>
        <v>0</v>
      </c>
      <c r="AO111" s="141">
        <f t="shared" si="83"/>
        <v>0</v>
      </c>
      <c r="AP111" s="141">
        <f t="shared" si="83"/>
        <v>0</v>
      </c>
      <c r="AQ111" s="201">
        <f t="shared" si="83"/>
        <v>0</v>
      </c>
      <c r="AT111" t="s">
        <v>19</v>
      </c>
      <c r="AU111" s="188" t="s">
        <v>20</v>
      </c>
      <c r="AV111" t="s">
        <v>21</v>
      </c>
      <c r="AW111" s="188" t="s">
        <v>22</v>
      </c>
    </row>
    <row r="112" spans="2:52" x14ac:dyDescent="0.25">
      <c r="B112" s="190" t="s">
        <v>103</v>
      </c>
      <c r="C112" s="159">
        <f>'Kainos 2026-2028'!H126</f>
        <v>142.77000000000001</v>
      </c>
      <c r="D112" s="150">
        <f t="shared" ref="D112:AQ112" si="84">$C$112*D106</f>
        <v>38.723917808219191</v>
      </c>
      <c r="E112" s="141">
        <f t="shared" si="84"/>
        <v>39.154183561643841</v>
      </c>
      <c r="F112" s="141">
        <f t="shared" si="84"/>
        <v>39.584449315068504</v>
      </c>
      <c r="G112" s="145">
        <f t="shared" si="84"/>
        <v>39.584449315068504</v>
      </c>
      <c r="H112" s="150">
        <f t="shared" si="84"/>
        <v>15.15708904109589</v>
      </c>
      <c r="I112" s="141">
        <f t="shared" si="84"/>
        <v>13.690273972602743</v>
      </c>
      <c r="J112" s="141">
        <f t="shared" si="84"/>
        <v>15.15708904109589</v>
      </c>
      <c r="K112" s="141">
        <f t="shared" si="84"/>
        <v>14.668150684931508</v>
      </c>
      <c r="L112" s="141">
        <f t="shared" si="84"/>
        <v>15.15708904109589</v>
      </c>
      <c r="M112" s="141">
        <f t="shared" si="84"/>
        <v>14.668150684931508</v>
      </c>
      <c r="N112" s="141">
        <f t="shared" si="84"/>
        <v>15.15708904109589</v>
      </c>
      <c r="O112" s="141">
        <f t="shared" si="84"/>
        <v>15.15708904109589</v>
      </c>
      <c r="P112" s="141">
        <f t="shared" si="84"/>
        <v>14.668150684931508</v>
      </c>
      <c r="Q112" s="141">
        <f t="shared" si="84"/>
        <v>15.15708904109589</v>
      </c>
      <c r="R112" s="141">
        <f t="shared" si="84"/>
        <v>14.668150684931508</v>
      </c>
      <c r="S112" s="145">
        <f t="shared" si="84"/>
        <v>15.15708904109589</v>
      </c>
      <c r="T112" s="150">
        <f t="shared" si="84"/>
        <v>0.58672602739726043</v>
      </c>
      <c r="U112" s="141">
        <f t="shared" si="84"/>
        <v>0.58672602739726043</v>
      </c>
      <c r="V112" s="141">
        <f t="shared" si="84"/>
        <v>0.58672602739726043</v>
      </c>
      <c r="W112" s="141">
        <f t="shared" si="84"/>
        <v>0.58672602739726043</v>
      </c>
      <c r="X112" s="141">
        <f t="shared" si="84"/>
        <v>0.58672602739726043</v>
      </c>
      <c r="Y112" s="141">
        <f t="shared" si="84"/>
        <v>0.58672602739726043</v>
      </c>
      <c r="Z112" s="141">
        <f t="shared" si="84"/>
        <v>0.58672602739726043</v>
      </c>
      <c r="AA112" s="141">
        <f t="shared" si="84"/>
        <v>0.58672602739726043</v>
      </c>
      <c r="AB112" s="141">
        <f t="shared" si="84"/>
        <v>0.58672602739726043</v>
      </c>
      <c r="AC112" s="141">
        <f t="shared" si="84"/>
        <v>0.58672602739726043</v>
      </c>
      <c r="AD112" s="141">
        <f t="shared" si="84"/>
        <v>0.58672602739726043</v>
      </c>
      <c r="AE112" s="145">
        <f t="shared" si="84"/>
        <v>0.58672602739726043</v>
      </c>
      <c r="AF112" s="148">
        <f t="shared" si="84"/>
        <v>0.66495616438356164</v>
      </c>
      <c r="AG112" s="141">
        <f t="shared" si="84"/>
        <v>0.66495616438356164</v>
      </c>
      <c r="AH112" s="141">
        <f t="shared" si="84"/>
        <v>0.66495616438356164</v>
      </c>
      <c r="AI112" s="141">
        <f t="shared" si="84"/>
        <v>0.66495616438356164</v>
      </c>
      <c r="AJ112" s="141">
        <f t="shared" si="84"/>
        <v>0.66495616438356164</v>
      </c>
      <c r="AK112" s="141">
        <f t="shared" si="84"/>
        <v>0.66495616438356164</v>
      </c>
      <c r="AL112" s="141">
        <f t="shared" si="84"/>
        <v>0.66495616438356164</v>
      </c>
      <c r="AM112" s="141">
        <f t="shared" si="84"/>
        <v>0.66495616438356164</v>
      </c>
      <c r="AN112" s="141">
        <f t="shared" si="84"/>
        <v>0.66495616438356164</v>
      </c>
      <c r="AO112" s="141">
        <f t="shared" si="84"/>
        <v>0.66495616438356164</v>
      </c>
      <c r="AP112" s="141">
        <f t="shared" si="84"/>
        <v>0.66495616438356164</v>
      </c>
      <c r="AQ112" s="201">
        <f t="shared" si="84"/>
        <v>0.66495616438356164</v>
      </c>
      <c r="AS112" s="236" t="s">
        <v>25</v>
      </c>
      <c r="AT112" s="235">
        <f>ROUND($C$113*T106,2)</f>
        <v>0.59</v>
      </c>
      <c r="AU112" s="235">
        <f>+AT112/$F$5</f>
        <v>23.599999999999998</v>
      </c>
      <c r="AV112" s="235">
        <v>0.6</v>
      </c>
      <c r="AW112" s="235">
        <f>+AV112/$F$5</f>
        <v>23.999999999999996</v>
      </c>
      <c r="AY112">
        <f>+AT112-AV112</f>
        <v>-1.0000000000000009E-2</v>
      </c>
    </row>
    <row r="113" spans="2:55" x14ac:dyDescent="0.25">
      <c r="B113" s="190" t="s">
        <v>104</v>
      </c>
      <c r="C113" s="159">
        <f>'Kainos 2026-2028'!H127</f>
        <v>142.77000000000001</v>
      </c>
      <c r="D113" s="150">
        <f t="shared" ref="D113:S113" si="85">$C$113*D106</f>
        <v>38.723917808219191</v>
      </c>
      <c r="E113" s="141">
        <f t="shared" si="85"/>
        <v>39.154183561643841</v>
      </c>
      <c r="F113" s="141">
        <f t="shared" si="85"/>
        <v>39.584449315068504</v>
      </c>
      <c r="G113" s="145">
        <f t="shared" si="85"/>
        <v>39.584449315068504</v>
      </c>
      <c r="H113" s="150">
        <f t="shared" si="85"/>
        <v>15.15708904109589</v>
      </c>
      <c r="I113" s="141">
        <f t="shared" si="85"/>
        <v>13.690273972602743</v>
      </c>
      <c r="J113" s="141">
        <f t="shared" si="85"/>
        <v>15.15708904109589</v>
      </c>
      <c r="K113" s="141">
        <f t="shared" si="85"/>
        <v>14.668150684931508</v>
      </c>
      <c r="L113" s="141">
        <f t="shared" si="85"/>
        <v>15.15708904109589</v>
      </c>
      <c r="M113" s="141">
        <f t="shared" si="85"/>
        <v>14.668150684931508</v>
      </c>
      <c r="N113" s="141">
        <f t="shared" si="85"/>
        <v>15.15708904109589</v>
      </c>
      <c r="O113" s="141">
        <f t="shared" si="85"/>
        <v>15.15708904109589</v>
      </c>
      <c r="P113" s="141">
        <f t="shared" si="85"/>
        <v>14.668150684931508</v>
      </c>
      <c r="Q113" s="141">
        <f t="shared" si="85"/>
        <v>15.15708904109589</v>
      </c>
      <c r="R113" s="141">
        <f t="shared" si="85"/>
        <v>14.668150684931508</v>
      </c>
      <c r="S113" s="145">
        <f t="shared" si="85"/>
        <v>15.15708904109589</v>
      </c>
      <c r="T113" s="265">
        <v>0.6</v>
      </c>
      <c r="U113" s="266">
        <v>0.6</v>
      </c>
      <c r="V113" s="266">
        <v>0.6</v>
      </c>
      <c r="W113" s="266">
        <v>0.6</v>
      </c>
      <c r="X113" s="266">
        <v>0.6</v>
      </c>
      <c r="Y113" s="266">
        <v>0.6</v>
      </c>
      <c r="Z113" s="266">
        <v>0.6</v>
      </c>
      <c r="AA113" s="266">
        <v>0.6</v>
      </c>
      <c r="AB113" s="266">
        <v>0.6</v>
      </c>
      <c r="AC113" s="266">
        <v>0.6</v>
      </c>
      <c r="AD113" s="266">
        <v>0.6</v>
      </c>
      <c r="AE113" s="267">
        <v>0.6</v>
      </c>
      <c r="AF113" s="268">
        <v>0.65</v>
      </c>
      <c r="AG113" s="266">
        <v>0.65</v>
      </c>
      <c r="AH113" s="266">
        <v>0.65</v>
      </c>
      <c r="AI113" s="266">
        <v>0.65</v>
      </c>
      <c r="AJ113" s="266">
        <v>0.65</v>
      </c>
      <c r="AK113" s="266">
        <v>0.65</v>
      </c>
      <c r="AL113" s="266">
        <v>0.65</v>
      </c>
      <c r="AM113" s="266">
        <v>0.65</v>
      </c>
      <c r="AN113" s="266">
        <v>0.65</v>
      </c>
      <c r="AO113" s="266">
        <v>0.65</v>
      </c>
      <c r="AP113" s="266">
        <v>0.65</v>
      </c>
      <c r="AQ113" s="269">
        <v>0.65</v>
      </c>
      <c r="AS113" s="236" t="s">
        <v>26</v>
      </c>
      <c r="AT113" s="235">
        <f>ROUND($C$113*AF106,2)</f>
        <v>0.66</v>
      </c>
      <c r="AU113" s="235">
        <f>+AT113/$F$5</f>
        <v>26.4</v>
      </c>
      <c r="AV113" s="235">
        <v>0.65</v>
      </c>
      <c r="AW113" s="235">
        <f>+AV113/$F$5</f>
        <v>26</v>
      </c>
      <c r="AY113">
        <f>+AT113-AV113</f>
        <v>1.0000000000000009E-2</v>
      </c>
    </row>
    <row r="114" spans="2:55" x14ac:dyDescent="0.25">
      <c r="B114" s="190" t="s">
        <v>105</v>
      </c>
      <c r="C114" s="159">
        <f>'Kainos 2026-2028'!H128</f>
        <v>142.77000000000001</v>
      </c>
      <c r="D114" s="150">
        <f t="shared" ref="D114:AQ114" si="86">$C$114*D106</f>
        <v>38.723917808219191</v>
      </c>
      <c r="E114" s="141">
        <f t="shared" si="86"/>
        <v>39.154183561643841</v>
      </c>
      <c r="F114" s="141">
        <f t="shared" si="86"/>
        <v>39.584449315068504</v>
      </c>
      <c r="G114" s="145">
        <f t="shared" si="86"/>
        <v>39.584449315068504</v>
      </c>
      <c r="H114" s="150">
        <f t="shared" si="86"/>
        <v>15.15708904109589</v>
      </c>
      <c r="I114" s="141">
        <f t="shared" si="86"/>
        <v>13.690273972602743</v>
      </c>
      <c r="J114" s="141">
        <f t="shared" si="86"/>
        <v>15.15708904109589</v>
      </c>
      <c r="K114" s="141">
        <f t="shared" si="86"/>
        <v>14.668150684931508</v>
      </c>
      <c r="L114" s="141">
        <f t="shared" si="86"/>
        <v>15.15708904109589</v>
      </c>
      <c r="M114" s="141">
        <f t="shared" si="86"/>
        <v>14.668150684931508</v>
      </c>
      <c r="N114" s="141">
        <f t="shared" si="86"/>
        <v>15.15708904109589</v>
      </c>
      <c r="O114" s="141">
        <f t="shared" si="86"/>
        <v>15.15708904109589</v>
      </c>
      <c r="P114" s="141">
        <f t="shared" si="86"/>
        <v>14.668150684931508</v>
      </c>
      <c r="Q114" s="141">
        <f t="shared" si="86"/>
        <v>15.15708904109589</v>
      </c>
      <c r="R114" s="141">
        <f t="shared" si="86"/>
        <v>14.668150684931508</v>
      </c>
      <c r="S114" s="145">
        <f t="shared" si="86"/>
        <v>15.15708904109589</v>
      </c>
      <c r="T114" s="150">
        <f t="shared" si="86"/>
        <v>0.58672602739726043</v>
      </c>
      <c r="U114" s="141">
        <f t="shared" si="86"/>
        <v>0.58672602739726043</v>
      </c>
      <c r="V114" s="141">
        <f t="shared" si="86"/>
        <v>0.58672602739726043</v>
      </c>
      <c r="W114" s="141">
        <f t="shared" si="86"/>
        <v>0.58672602739726043</v>
      </c>
      <c r="X114" s="141">
        <f t="shared" si="86"/>
        <v>0.58672602739726043</v>
      </c>
      <c r="Y114" s="141">
        <f t="shared" si="86"/>
        <v>0.58672602739726043</v>
      </c>
      <c r="Z114" s="141">
        <f t="shared" si="86"/>
        <v>0.58672602739726043</v>
      </c>
      <c r="AA114" s="141">
        <f t="shared" si="86"/>
        <v>0.58672602739726043</v>
      </c>
      <c r="AB114" s="141">
        <f t="shared" si="86"/>
        <v>0.58672602739726043</v>
      </c>
      <c r="AC114" s="141">
        <f t="shared" si="86"/>
        <v>0.58672602739726043</v>
      </c>
      <c r="AD114" s="141">
        <f t="shared" si="86"/>
        <v>0.58672602739726043</v>
      </c>
      <c r="AE114" s="145">
        <f t="shared" si="86"/>
        <v>0.58672602739726043</v>
      </c>
      <c r="AF114" s="148">
        <f t="shared" si="86"/>
        <v>0.66495616438356164</v>
      </c>
      <c r="AG114" s="141">
        <f t="shared" si="86"/>
        <v>0.66495616438356164</v>
      </c>
      <c r="AH114" s="141">
        <f t="shared" si="86"/>
        <v>0.66495616438356164</v>
      </c>
      <c r="AI114" s="141">
        <f t="shared" si="86"/>
        <v>0.66495616438356164</v>
      </c>
      <c r="AJ114" s="141">
        <f t="shared" si="86"/>
        <v>0.66495616438356164</v>
      </c>
      <c r="AK114" s="141">
        <f t="shared" si="86"/>
        <v>0.66495616438356164</v>
      </c>
      <c r="AL114" s="141">
        <f t="shared" si="86"/>
        <v>0.66495616438356164</v>
      </c>
      <c r="AM114" s="141">
        <f t="shared" si="86"/>
        <v>0.66495616438356164</v>
      </c>
      <c r="AN114" s="141">
        <f t="shared" si="86"/>
        <v>0.66495616438356164</v>
      </c>
      <c r="AO114" s="141">
        <f t="shared" si="86"/>
        <v>0.66495616438356164</v>
      </c>
      <c r="AP114" s="141">
        <f t="shared" si="86"/>
        <v>0.66495616438356164</v>
      </c>
      <c r="AQ114" s="201">
        <f t="shared" si="86"/>
        <v>0.66495616438356164</v>
      </c>
      <c r="AS114" s="237"/>
      <c r="AT114" s="237"/>
      <c r="AU114" s="237"/>
      <c r="AV114" s="237"/>
    </row>
    <row r="115" spans="2:55" x14ac:dyDescent="0.25">
      <c r="B115" s="190" t="s">
        <v>106</v>
      </c>
      <c r="C115" s="159">
        <f>'Kainos 2026-2028'!H129</f>
        <v>142.77000000000001</v>
      </c>
      <c r="D115" s="150">
        <f t="shared" ref="D115:AQ115" si="87">$C$115*D106</f>
        <v>38.723917808219191</v>
      </c>
      <c r="E115" s="141">
        <f t="shared" si="87"/>
        <v>39.154183561643841</v>
      </c>
      <c r="F115" s="141">
        <f t="shared" si="87"/>
        <v>39.584449315068504</v>
      </c>
      <c r="G115" s="145">
        <f t="shared" si="87"/>
        <v>39.584449315068504</v>
      </c>
      <c r="H115" s="150">
        <f t="shared" si="87"/>
        <v>15.15708904109589</v>
      </c>
      <c r="I115" s="141">
        <f t="shared" si="87"/>
        <v>13.690273972602743</v>
      </c>
      <c r="J115" s="141">
        <f t="shared" si="87"/>
        <v>15.15708904109589</v>
      </c>
      <c r="K115" s="141">
        <f t="shared" si="87"/>
        <v>14.668150684931508</v>
      </c>
      <c r="L115" s="141">
        <f t="shared" si="87"/>
        <v>15.15708904109589</v>
      </c>
      <c r="M115" s="141">
        <f t="shared" si="87"/>
        <v>14.668150684931508</v>
      </c>
      <c r="N115" s="141">
        <f t="shared" si="87"/>
        <v>15.15708904109589</v>
      </c>
      <c r="O115" s="141">
        <f t="shared" si="87"/>
        <v>15.15708904109589</v>
      </c>
      <c r="P115" s="141">
        <f t="shared" si="87"/>
        <v>14.668150684931508</v>
      </c>
      <c r="Q115" s="141">
        <f t="shared" si="87"/>
        <v>15.15708904109589</v>
      </c>
      <c r="R115" s="141">
        <f t="shared" si="87"/>
        <v>14.668150684931508</v>
      </c>
      <c r="S115" s="145">
        <f t="shared" si="87"/>
        <v>15.15708904109589</v>
      </c>
      <c r="T115" s="150">
        <f t="shared" si="87"/>
        <v>0.58672602739726043</v>
      </c>
      <c r="U115" s="141">
        <f t="shared" si="87"/>
        <v>0.58672602739726043</v>
      </c>
      <c r="V115" s="141">
        <f t="shared" si="87"/>
        <v>0.58672602739726043</v>
      </c>
      <c r="W115" s="141">
        <f t="shared" si="87"/>
        <v>0.58672602739726043</v>
      </c>
      <c r="X115" s="141">
        <f t="shared" si="87"/>
        <v>0.58672602739726043</v>
      </c>
      <c r="Y115" s="141">
        <f t="shared" si="87"/>
        <v>0.58672602739726043</v>
      </c>
      <c r="Z115" s="141">
        <f t="shared" si="87"/>
        <v>0.58672602739726043</v>
      </c>
      <c r="AA115" s="141">
        <f t="shared" si="87"/>
        <v>0.58672602739726043</v>
      </c>
      <c r="AB115" s="141">
        <f t="shared" si="87"/>
        <v>0.58672602739726043</v>
      </c>
      <c r="AC115" s="141">
        <f t="shared" si="87"/>
        <v>0.58672602739726043</v>
      </c>
      <c r="AD115" s="141">
        <f t="shared" si="87"/>
        <v>0.58672602739726043</v>
      </c>
      <c r="AE115" s="145">
        <f t="shared" si="87"/>
        <v>0.58672602739726043</v>
      </c>
      <c r="AF115" s="148">
        <f t="shared" si="87"/>
        <v>0.66495616438356164</v>
      </c>
      <c r="AG115" s="141">
        <f t="shared" si="87"/>
        <v>0.66495616438356164</v>
      </c>
      <c r="AH115" s="141">
        <f t="shared" si="87"/>
        <v>0.66495616438356164</v>
      </c>
      <c r="AI115" s="141">
        <f t="shared" si="87"/>
        <v>0.66495616438356164</v>
      </c>
      <c r="AJ115" s="141">
        <f t="shared" si="87"/>
        <v>0.66495616438356164</v>
      </c>
      <c r="AK115" s="141">
        <f t="shared" si="87"/>
        <v>0.66495616438356164</v>
      </c>
      <c r="AL115" s="141">
        <f t="shared" si="87"/>
        <v>0.66495616438356164</v>
      </c>
      <c r="AM115" s="141">
        <f t="shared" si="87"/>
        <v>0.66495616438356164</v>
      </c>
      <c r="AN115" s="141">
        <f t="shared" si="87"/>
        <v>0.66495616438356164</v>
      </c>
      <c r="AO115" s="141">
        <f t="shared" si="87"/>
        <v>0.66495616438356164</v>
      </c>
      <c r="AP115" s="141">
        <f t="shared" si="87"/>
        <v>0.66495616438356164</v>
      </c>
      <c r="AQ115" s="201">
        <f t="shared" si="87"/>
        <v>0.66495616438356164</v>
      </c>
      <c r="AS115" s="75" t="s">
        <v>24</v>
      </c>
    </row>
    <row r="116" spans="2:55" x14ac:dyDescent="0.25">
      <c r="B116" s="190" t="s">
        <v>107</v>
      </c>
      <c r="C116" s="159">
        <f>'Kainos 2026-2028'!H130</f>
        <v>170.13688224646125</v>
      </c>
      <c r="D116" s="150">
        <f t="shared" ref="D116:S116" si="88">+$C$116*D107</f>
        <v>46.14671600657443</v>
      </c>
      <c r="E116" s="141">
        <f t="shared" si="88"/>
        <v>46.659457295536363</v>
      </c>
      <c r="F116" s="141">
        <f t="shared" si="88"/>
        <v>47.172198584498304</v>
      </c>
      <c r="G116" s="145">
        <f t="shared" si="88"/>
        <v>47.172198584498304</v>
      </c>
      <c r="H116" s="150">
        <f t="shared" si="88"/>
        <v>18.062477224795543</v>
      </c>
      <c r="I116" s="141">
        <f t="shared" si="88"/>
        <v>16.314495557879848</v>
      </c>
      <c r="J116" s="141">
        <f t="shared" si="88"/>
        <v>18.062477224795543</v>
      </c>
      <c r="K116" s="141">
        <f t="shared" si="88"/>
        <v>17.479816669156978</v>
      </c>
      <c r="L116" s="141">
        <f t="shared" si="88"/>
        <v>18.062477224795543</v>
      </c>
      <c r="M116" s="141">
        <f t="shared" si="88"/>
        <v>17.479816669156978</v>
      </c>
      <c r="N116" s="141">
        <f t="shared" si="88"/>
        <v>18.062477224795543</v>
      </c>
      <c r="O116" s="141">
        <f t="shared" si="88"/>
        <v>18.062477224795543</v>
      </c>
      <c r="P116" s="141">
        <f t="shared" si="88"/>
        <v>17.479816669156978</v>
      </c>
      <c r="Q116" s="141">
        <f t="shared" si="88"/>
        <v>18.062477224795543</v>
      </c>
      <c r="R116" s="141">
        <f t="shared" si="88"/>
        <v>17.479816669156978</v>
      </c>
      <c r="S116" s="145">
        <f t="shared" si="88"/>
        <v>18.062477224795543</v>
      </c>
      <c r="T116" s="273">
        <v>0.70499999999999996</v>
      </c>
      <c r="U116" s="274">
        <v>0.70499999999999996</v>
      </c>
      <c r="V116" s="274">
        <v>0.70499999999999996</v>
      </c>
      <c r="W116" s="274">
        <v>0.70499999999999996</v>
      </c>
      <c r="X116" s="274">
        <v>0.70499999999999996</v>
      </c>
      <c r="Y116" s="274">
        <v>0.70499999999999996</v>
      </c>
      <c r="Z116" s="274">
        <v>0.70499999999999996</v>
      </c>
      <c r="AA116" s="274">
        <v>0.70499999999999996</v>
      </c>
      <c r="AB116" s="274">
        <v>0.70499999999999996</v>
      </c>
      <c r="AC116" s="274">
        <v>0.70499999999999996</v>
      </c>
      <c r="AD116" s="274">
        <v>0.70499999999999996</v>
      </c>
      <c r="AE116" s="275">
        <v>0.70499999999999996</v>
      </c>
      <c r="AF116" s="270">
        <v>0.78</v>
      </c>
      <c r="AG116" s="266">
        <v>0.78</v>
      </c>
      <c r="AH116" s="266">
        <v>0.78</v>
      </c>
      <c r="AI116" s="266">
        <v>0.78</v>
      </c>
      <c r="AJ116" s="266">
        <v>0.78</v>
      </c>
      <c r="AK116" s="266">
        <v>0.78</v>
      </c>
      <c r="AL116" s="266">
        <v>0.78</v>
      </c>
      <c r="AM116" s="266">
        <v>0.78</v>
      </c>
      <c r="AN116" s="266">
        <v>0.78</v>
      </c>
      <c r="AO116" s="266">
        <v>0.78</v>
      </c>
      <c r="AP116" s="266">
        <v>0.78</v>
      </c>
      <c r="AQ116" s="269">
        <v>0.78</v>
      </c>
      <c r="AT116" t="s">
        <v>19</v>
      </c>
      <c r="AU116" s="188" t="s">
        <v>27</v>
      </c>
      <c r="AV116" t="s">
        <v>21</v>
      </c>
      <c r="AW116" s="188" t="s">
        <v>22</v>
      </c>
      <c r="AX116" t="s">
        <v>21</v>
      </c>
      <c r="AY116" s="188" t="s">
        <v>27</v>
      </c>
      <c r="AZ116" t="s">
        <v>16</v>
      </c>
      <c r="BA116" t="s">
        <v>28</v>
      </c>
    </row>
    <row r="117" spans="2:55" x14ac:dyDescent="0.25">
      <c r="B117" s="190" t="s">
        <v>108</v>
      </c>
      <c r="C117" s="159">
        <f>'Kainos 2026-2028'!H131</f>
        <v>170.13688224646125</v>
      </c>
      <c r="D117" s="150">
        <f t="shared" ref="D117:AQ117" si="89">+$C$117*D108</f>
        <v>77.610386011056988</v>
      </c>
      <c r="E117" s="141">
        <f t="shared" si="89"/>
        <v>37.645698499807743</v>
      </c>
      <c r="F117" s="141">
        <f t="shared" si="89"/>
        <v>25.730290136999074</v>
      </c>
      <c r="G117" s="145">
        <f t="shared" si="89"/>
        <v>71.294345587934941</v>
      </c>
      <c r="H117" s="150">
        <f t="shared" si="89"/>
        <v>36.413954085187818</v>
      </c>
      <c r="I117" s="141">
        <f t="shared" si="89"/>
        <v>25.64638701698712</v>
      </c>
      <c r="J117" s="141">
        <f t="shared" si="89"/>
        <v>31.645460097841791</v>
      </c>
      <c r="K117" s="141">
        <f t="shared" si="89"/>
        <v>19.507475402779189</v>
      </c>
      <c r="L117" s="141">
        <f t="shared" si="89"/>
        <v>14.305481962038071</v>
      </c>
      <c r="M117" s="141">
        <f t="shared" si="89"/>
        <v>11.746436801673489</v>
      </c>
      <c r="N117" s="141">
        <f t="shared" si="89"/>
        <v>9.9704874280871412</v>
      </c>
      <c r="O117" s="141">
        <f t="shared" si="89"/>
        <v>10.837486334877326</v>
      </c>
      <c r="P117" s="141">
        <f t="shared" si="89"/>
        <v>9.8586166014045347</v>
      </c>
      <c r="Q117" s="141">
        <f t="shared" si="89"/>
        <v>20.374474309569372</v>
      </c>
      <c r="R117" s="141">
        <f t="shared" si="89"/>
        <v>27.268514003884889</v>
      </c>
      <c r="S117" s="145">
        <f t="shared" si="89"/>
        <v>37.714452445373098</v>
      </c>
      <c r="T117" s="150">
        <f t="shared" si="89"/>
        <v>2.349287360334698</v>
      </c>
      <c r="U117" s="141">
        <f t="shared" si="89"/>
        <v>1.8318847869276516</v>
      </c>
      <c r="V117" s="141">
        <f t="shared" si="89"/>
        <v>2.041642586957535</v>
      </c>
      <c r="W117" s="141">
        <f t="shared" si="89"/>
        <v>1.3004983601852795</v>
      </c>
      <c r="X117" s="141">
        <f t="shared" si="89"/>
        <v>0.92293432013148857</v>
      </c>
      <c r="Y117" s="141">
        <f t="shared" si="89"/>
        <v>0.78309578677823288</v>
      </c>
      <c r="Z117" s="141">
        <f t="shared" si="89"/>
        <v>0.64325725342497686</v>
      </c>
      <c r="AA117" s="141">
        <f t="shared" si="89"/>
        <v>0.69919266676627922</v>
      </c>
      <c r="AB117" s="141">
        <f t="shared" si="89"/>
        <v>0.65724110676030234</v>
      </c>
      <c r="AC117" s="141">
        <f t="shared" si="89"/>
        <v>1.3144822135206047</v>
      </c>
      <c r="AD117" s="141">
        <f t="shared" si="89"/>
        <v>1.817900933592326</v>
      </c>
      <c r="AE117" s="145">
        <f t="shared" si="89"/>
        <v>2.4331904803466515</v>
      </c>
      <c r="AF117" s="148">
        <f t="shared" si="89"/>
        <v>2.349287360334698</v>
      </c>
      <c r="AG117" s="141">
        <f t="shared" si="89"/>
        <v>1.8318847869276516</v>
      </c>
      <c r="AH117" s="141">
        <f t="shared" si="89"/>
        <v>2.041642586957535</v>
      </c>
      <c r="AI117" s="141">
        <f t="shared" si="89"/>
        <v>1.3004983601852795</v>
      </c>
      <c r="AJ117" s="141">
        <f t="shared" si="89"/>
        <v>0.92293432013148857</v>
      </c>
      <c r="AK117" s="141">
        <f t="shared" si="89"/>
        <v>0.78309578677823288</v>
      </c>
      <c r="AL117" s="141">
        <f t="shared" si="89"/>
        <v>0.64325725342497686</v>
      </c>
      <c r="AM117" s="141">
        <f t="shared" si="89"/>
        <v>0.69919266676627922</v>
      </c>
      <c r="AN117" s="141">
        <f t="shared" si="89"/>
        <v>0.65724110676030234</v>
      </c>
      <c r="AO117" s="141">
        <f t="shared" si="89"/>
        <v>1.3144822135206047</v>
      </c>
      <c r="AP117" s="141">
        <f t="shared" si="89"/>
        <v>1.817900933592326</v>
      </c>
      <c r="AQ117" s="201">
        <f t="shared" si="89"/>
        <v>2.4331904803466515</v>
      </c>
      <c r="AS117" s="236" t="s">
        <v>25</v>
      </c>
      <c r="AT117" s="271">
        <f>ROUND($C$116*T107,2)</f>
        <v>0.7</v>
      </c>
      <c r="AU117" s="271">
        <f>ROUND('Kainos 2026-2028'!$H$154,2)</f>
        <v>0.12</v>
      </c>
      <c r="AV117" s="271">
        <f>+AU117+AT117</f>
        <v>0.82</v>
      </c>
      <c r="AW117" s="235">
        <f>+AV117/$F$5</f>
        <v>32.799999999999997</v>
      </c>
      <c r="AX117" s="235">
        <v>0.70499999999999996</v>
      </c>
      <c r="AY117" s="271">
        <f>ROUND('Kainos 2026-2028'!$H$154,2)</f>
        <v>0.12</v>
      </c>
      <c r="AZ117" s="272">
        <f>+AY117+AX117</f>
        <v>0.82499999999999996</v>
      </c>
      <c r="BA117" s="271">
        <f>+AZ117/$F$5</f>
        <v>32.999999999999993</v>
      </c>
      <c r="BC117" s="230">
        <f>+AZ117-AV117</f>
        <v>5.0000000000000044E-3</v>
      </c>
    </row>
    <row r="118" spans="2:55" x14ac:dyDescent="0.25">
      <c r="B118" s="190" t="s">
        <v>109</v>
      </c>
      <c r="C118" s="159">
        <f>'Kainos 2026-2028'!H132</f>
        <v>170.13688224646125</v>
      </c>
      <c r="D118" s="150">
        <f t="shared" ref="D118:AQ118" si="90">+$C$118*D107</f>
        <v>46.14671600657443</v>
      </c>
      <c r="E118" s="141">
        <f t="shared" si="90"/>
        <v>46.659457295536363</v>
      </c>
      <c r="F118" s="141">
        <f t="shared" si="90"/>
        <v>47.172198584498304</v>
      </c>
      <c r="G118" s="145">
        <f t="shared" si="90"/>
        <v>47.172198584498304</v>
      </c>
      <c r="H118" s="150">
        <f t="shared" si="90"/>
        <v>18.062477224795543</v>
      </c>
      <c r="I118" s="141">
        <f t="shared" si="90"/>
        <v>16.314495557879848</v>
      </c>
      <c r="J118" s="141">
        <f t="shared" si="90"/>
        <v>18.062477224795543</v>
      </c>
      <c r="K118" s="141">
        <f t="shared" si="90"/>
        <v>17.479816669156978</v>
      </c>
      <c r="L118" s="141">
        <f t="shared" si="90"/>
        <v>18.062477224795543</v>
      </c>
      <c r="M118" s="141">
        <f t="shared" si="90"/>
        <v>17.479816669156978</v>
      </c>
      <c r="N118" s="141">
        <f t="shared" si="90"/>
        <v>18.062477224795543</v>
      </c>
      <c r="O118" s="141">
        <f t="shared" si="90"/>
        <v>18.062477224795543</v>
      </c>
      <c r="P118" s="141">
        <f t="shared" si="90"/>
        <v>17.479816669156978</v>
      </c>
      <c r="Q118" s="141">
        <f t="shared" si="90"/>
        <v>18.062477224795543</v>
      </c>
      <c r="R118" s="141">
        <f t="shared" si="90"/>
        <v>17.479816669156978</v>
      </c>
      <c r="S118" s="145">
        <f t="shared" si="90"/>
        <v>18.062477224795543</v>
      </c>
      <c r="T118" s="150">
        <f t="shared" si="90"/>
        <v>0.69919266676627922</v>
      </c>
      <c r="U118" s="141">
        <f t="shared" si="90"/>
        <v>0.69919266676627922</v>
      </c>
      <c r="V118" s="141">
        <f t="shared" si="90"/>
        <v>0.69919266676627922</v>
      </c>
      <c r="W118" s="141">
        <f t="shared" si="90"/>
        <v>0.69919266676627922</v>
      </c>
      <c r="X118" s="141">
        <f t="shared" si="90"/>
        <v>0.69919266676627922</v>
      </c>
      <c r="Y118" s="141">
        <f t="shared" si="90"/>
        <v>0.69919266676627922</v>
      </c>
      <c r="Z118" s="141">
        <f t="shared" si="90"/>
        <v>0.69919266676627922</v>
      </c>
      <c r="AA118" s="141">
        <f t="shared" si="90"/>
        <v>0.69919266676627922</v>
      </c>
      <c r="AB118" s="141">
        <f t="shared" si="90"/>
        <v>0.69919266676627922</v>
      </c>
      <c r="AC118" s="141">
        <f t="shared" si="90"/>
        <v>0.69919266676627922</v>
      </c>
      <c r="AD118" s="141">
        <f t="shared" si="90"/>
        <v>0.69919266676627922</v>
      </c>
      <c r="AE118" s="145">
        <f t="shared" si="90"/>
        <v>0.69919266676627922</v>
      </c>
      <c r="AF118" s="148">
        <f t="shared" si="90"/>
        <v>0.79241835566844965</v>
      </c>
      <c r="AG118" s="141">
        <f t="shared" si="90"/>
        <v>0.79241835566844965</v>
      </c>
      <c r="AH118" s="141">
        <f t="shared" si="90"/>
        <v>0.79241835566844965</v>
      </c>
      <c r="AI118" s="141">
        <f t="shared" si="90"/>
        <v>0.79241835566844965</v>
      </c>
      <c r="AJ118" s="141">
        <f t="shared" si="90"/>
        <v>0.79241835566844965</v>
      </c>
      <c r="AK118" s="141">
        <f t="shared" si="90"/>
        <v>0.79241835566844965</v>
      </c>
      <c r="AL118" s="141">
        <f t="shared" si="90"/>
        <v>0.79241835566844965</v>
      </c>
      <c r="AM118" s="141">
        <f t="shared" si="90"/>
        <v>0.79241835566844965</v>
      </c>
      <c r="AN118" s="141">
        <f t="shared" si="90"/>
        <v>0.79241835566844965</v>
      </c>
      <c r="AO118" s="141">
        <f t="shared" si="90"/>
        <v>0.79241835566844965</v>
      </c>
      <c r="AP118" s="141">
        <f t="shared" si="90"/>
        <v>0.79241835566844965</v>
      </c>
      <c r="AQ118" s="201">
        <f t="shared" si="90"/>
        <v>0.79241835566844965</v>
      </c>
      <c r="AS118" s="236" t="s">
        <v>26</v>
      </c>
      <c r="AT118" s="235">
        <f>ROUND($C$116*AF107,2)</f>
        <v>0.79</v>
      </c>
      <c r="AU118" s="271">
        <f>ROUND('Kainos 2026-2028'!$H$154,2)</f>
        <v>0.12</v>
      </c>
      <c r="AV118" s="271">
        <f>+AU118+AT118</f>
        <v>0.91</v>
      </c>
      <c r="AW118" s="235">
        <f>+AV118/$F$5</f>
        <v>36.4</v>
      </c>
      <c r="AX118" s="272">
        <v>0.78</v>
      </c>
      <c r="AY118" s="271">
        <f>ROUND('Kainos 2026-2028'!$H$154,2)</f>
        <v>0.12</v>
      </c>
      <c r="AZ118" s="272">
        <f>+AY118+AX118</f>
        <v>0.9</v>
      </c>
      <c r="BA118" s="271">
        <f>+AZ118/$F$5</f>
        <v>36</v>
      </c>
      <c r="BC118" s="73">
        <f>+AZ118-AV118</f>
        <v>-1.0000000000000009E-2</v>
      </c>
    </row>
    <row r="119" spans="2:55" x14ac:dyDescent="0.25">
      <c r="B119" s="190" t="s">
        <v>110</v>
      </c>
      <c r="C119" s="159">
        <f>'Kainos 2026-2028'!H136</f>
        <v>170.13688224646125</v>
      </c>
      <c r="D119" s="150">
        <f t="shared" ref="D119:AQ119" si="91">+$C$119*D109</f>
        <v>77.610386011056988</v>
      </c>
      <c r="E119" s="141">
        <f t="shared" si="91"/>
        <v>37.645698499807743</v>
      </c>
      <c r="F119" s="141">
        <f t="shared" si="91"/>
        <v>25.730290136999074</v>
      </c>
      <c r="G119" s="145">
        <f t="shared" si="91"/>
        <v>71.294345587934941</v>
      </c>
      <c r="H119" s="150">
        <f t="shared" si="91"/>
        <v>36.413954085187818</v>
      </c>
      <c r="I119" s="141">
        <f t="shared" si="91"/>
        <v>25.64638701698712</v>
      </c>
      <c r="J119" s="141">
        <f t="shared" si="91"/>
        <v>31.645460097841791</v>
      </c>
      <c r="K119" s="141">
        <f t="shared" si="91"/>
        <v>19.507475402779189</v>
      </c>
      <c r="L119" s="141">
        <f t="shared" si="91"/>
        <v>14.305481962038071</v>
      </c>
      <c r="M119" s="141">
        <f t="shared" si="91"/>
        <v>11.746436801673489</v>
      </c>
      <c r="N119" s="141">
        <f t="shared" si="91"/>
        <v>9.9704874280871412</v>
      </c>
      <c r="O119" s="141">
        <f t="shared" si="91"/>
        <v>10.837486334877326</v>
      </c>
      <c r="P119" s="141">
        <f t="shared" si="91"/>
        <v>9.8586166014045347</v>
      </c>
      <c r="Q119" s="141">
        <f t="shared" si="91"/>
        <v>20.374474309569372</v>
      </c>
      <c r="R119" s="141">
        <f t="shared" si="91"/>
        <v>27.268514003884889</v>
      </c>
      <c r="S119" s="145">
        <f t="shared" si="91"/>
        <v>37.714452445373098</v>
      </c>
      <c r="T119" s="150">
        <f t="shared" si="91"/>
        <v>2.349287360334698</v>
      </c>
      <c r="U119" s="141">
        <f t="shared" si="91"/>
        <v>1.8318847869276516</v>
      </c>
      <c r="V119" s="141">
        <f t="shared" si="91"/>
        <v>2.041642586957535</v>
      </c>
      <c r="W119" s="141">
        <f t="shared" si="91"/>
        <v>1.3004983601852795</v>
      </c>
      <c r="X119" s="141">
        <f t="shared" si="91"/>
        <v>0.92293432013148857</v>
      </c>
      <c r="Y119" s="141">
        <f t="shared" si="91"/>
        <v>0.78309578677823288</v>
      </c>
      <c r="Z119" s="141">
        <f t="shared" si="91"/>
        <v>0.64325725342497686</v>
      </c>
      <c r="AA119" s="141">
        <f t="shared" si="91"/>
        <v>0.69919266676627922</v>
      </c>
      <c r="AB119" s="141">
        <f t="shared" si="91"/>
        <v>0.65724110676030234</v>
      </c>
      <c r="AC119" s="141">
        <f t="shared" si="91"/>
        <v>1.3144822135206047</v>
      </c>
      <c r="AD119" s="141">
        <f t="shared" si="91"/>
        <v>1.817900933592326</v>
      </c>
      <c r="AE119" s="145">
        <f t="shared" si="91"/>
        <v>2.4331904803466515</v>
      </c>
      <c r="AF119" s="148">
        <f t="shared" si="91"/>
        <v>2.349287360334698</v>
      </c>
      <c r="AG119" s="141">
        <f t="shared" si="91"/>
        <v>1.8318847869276516</v>
      </c>
      <c r="AH119" s="141">
        <f t="shared" si="91"/>
        <v>2.041642586957535</v>
      </c>
      <c r="AI119" s="141">
        <f t="shared" si="91"/>
        <v>1.3004983601852795</v>
      </c>
      <c r="AJ119" s="141">
        <f t="shared" si="91"/>
        <v>0.92293432013148857</v>
      </c>
      <c r="AK119" s="141">
        <f t="shared" si="91"/>
        <v>0.78309578677823288</v>
      </c>
      <c r="AL119" s="141">
        <f t="shared" si="91"/>
        <v>0.64325725342497686</v>
      </c>
      <c r="AM119" s="141">
        <f t="shared" si="91"/>
        <v>0.69919266676627922</v>
      </c>
      <c r="AN119" s="141">
        <f t="shared" si="91"/>
        <v>0.65724110676030234</v>
      </c>
      <c r="AO119" s="141">
        <f t="shared" si="91"/>
        <v>1.3144822135206047</v>
      </c>
      <c r="AP119" s="141">
        <f t="shared" si="91"/>
        <v>1.817900933592326</v>
      </c>
      <c r="AQ119" s="201">
        <f t="shared" si="91"/>
        <v>2.4331904803466515</v>
      </c>
      <c r="AS119" s="237"/>
      <c r="AT119" s="73"/>
      <c r="AU119" s="73"/>
      <c r="AZ119" s="73"/>
    </row>
    <row r="120" spans="2:55" ht="15.75" thickBot="1" x14ac:dyDescent="0.3">
      <c r="B120" s="192" t="s">
        <v>111</v>
      </c>
      <c r="C120" s="203">
        <f>'Kainos 2026-2028'!H137</f>
        <v>170.13688224646125</v>
      </c>
      <c r="D120" s="204">
        <f t="shared" ref="D120:AQ120" si="92">+$C$120*D109</f>
        <v>77.610386011056988</v>
      </c>
      <c r="E120" s="205">
        <f t="shared" si="92"/>
        <v>37.645698499807743</v>
      </c>
      <c r="F120" s="205">
        <f t="shared" si="92"/>
        <v>25.730290136999074</v>
      </c>
      <c r="G120" s="206">
        <f t="shared" si="92"/>
        <v>71.294345587934941</v>
      </c>
      <c r="H120" s="204">
        <f t="shared" si="92"/>
        <v>36.413954085187818</v>
      </c>
      <c r="I120" s="205">
        <f t="shared" si="92"/>
        <v>25.64638701698712</v>
      </c>
      <c r="J120" s="205">
        <f t="shared" si="92"/>
        <v>31.645460097841791</v>
      </c>
      <c r="K120" s="205">
        <f t="shared" si="92"/>
        <v>19.507475402779189</v>
      </c>
      <c r="L120" s="205">
        <f t="shared" si="92"/>
        <v>14.305481962038071</v>
      </c>
      <c r="M120" s="205">
        <f t="shared" si="92"/>
        <v>11.746436801673489</v>
      </c>
      <c r="N120" s="205">
        <f t="shared" si="92"/>
        <v>9.9704874280871412</v>
      </c>
      <c r="O120" s="205">
        <f t="shared" si="92"/>
        <v>10.837486334877326</v>
      </c>
      <c r="P120" s="205">
        <f t="shared" si="92"/>
        <v>9.8586166014045347</v>
      </c>
      <c r="Q120" s="205">
        <f t="shared" si="92"/>
        <v>20.374474309569372</v>
      </c>
      <c r="R120" s="205">
        <f t="shared" si="92"/>
        <v>27.268514003884889</v>
      </c>
      <c r="S120" s="206">
        <f t="shared" si="92"/>
        <v>37.714452445373098</v>
      </c>
      <c r="T120" s="204">
        <f t="shared" si="92"/>
        <v>2.349287360334698</v>
      </c>
      <c r="U120" s="205">
        <f t="shared" si="92"/>
        <v>1.8318847869276516</v>
      </c>
      <c r="V120" s="205">
        <f t="shared" si="92"/>
        <v>2.041642586957535</v>
      </c>
      <c r="W120" s="205">
        <f t="shared" si="92"/>
        <v>1.3004983601852795</v>
      </c>
      <c r="X120" s="205">
        <f t="shared" si="92"/>
        <v>0.92293432013148857</v>
      </c>
      <c r="Y120" s="205">
        <f t="shared" si="92"/>
        <v>0.78309578677823288</v>
      </c>
      <c r="Z120" s="205">
        <f t="shared" si="92"/>
        <v>0.64325725342497686</v>
      </c>
      <c r="AA120" s="205">
        <f t="shared" si="92"/>
        <v>0.69919266676627922</v>
      </c>
      <c r="AB120" s="205">
        <f t="shared" si="92"/>
        <v>0.65724110676030234</v>
      </c>
      <c r="AC120" s="205">
        <f t="shared" si="92"/>
        <v>1.3144822135206047</v>
      </c>
      <c r="AD120" s="205">
        <f t="shared" si="92"/>
        <v>1.817900933592326</v>
      </c>
      <c r="AE120" s="206">
        <f t="shared" si="92"/>
        <v>2.4331904803466515</v>
      </c>
      <c r="AF120" s="207">
        <f t="shared" si="92"/>
        <v>2.349287360334698</v>
      </c>
      <c r="AG120" s="205">
        <f t="shared" si="92"/>
        <v>1.8318847869276516</v>
      </c>
      <c r="AH120" s="205">
        <f t="shared" si="92"/>
        <v>2.041642586957535</v>
      </c>
      <c r="AI120" s="205">
        <f t="shared" si="92"/>
        <v>1.3004983601852795</v>
      </c>
      <c r="AJ120" s="205">
        <f t="shared" si="92"/>
        <v>0.92293432013148857</v>
      </c>
      <c r="AK120" s="205">
        <f t="shared" si="92"/>
        <v>0.78309578677823288</v>
      </c>
      <c r="AL120" s="205">
        <f t="shared" si="92"/>
        <v>0.64325725342497686</v>
      </c>
      <c r="AM120" s="205">
        <f t="shared" si="92"/>
        <v>0.69919266676627922</v>
      </c>
      <c r="AN120" s="205">
        <f t="shared" si="92"/>
        <v>0.65724110676030234</v>
      </c>
      <c r="AO120" s="205">
        <f t="shared" si="92"/>
        <v>1.3144822135206047</v>
      </c>
      <c r="AP120" s="205">
        <f t="shared" si="92"/>
        <v>1.817900933592326</v>
      </c>
      <c r="AQ120" s="208">
        <f t="shared" si="92"/>
        <v>2.4331904803466515</v>
      </c>
      <c r="AS120" s="237"/>
      <c r="AT120" s="73"/>
      <c r="AU120" s="73"/>
      <c r="AZ120" s="73"/>
    </row>
    <row r="121" spans="2:55" ht="15.75" x14ac:dyDescent="0.25">
      <c r="B121" s="382" t="s">
        <v>130</v>
      </c>
      <c r="C121" s="383"/>
      <c r="D121" s="383"/>
      <c r="E121" s="383"/>
      <c r="F121" s="383"/>
      <c r="G121" s="383"/>
      <c r="H121" s="383"/>
      <c r="I121" s="383"/>
      <c r="J121" s="383"/>
      <c r="K121" s="383"/>
      <c r="L121" s="383"/>
      <c r="M121" s="383"/>
      <c r="N121" s="383"/>
      <c r="O121" s="383"/>
      <c r="P121" s="383"/>
      <c r="Q121" s="383"/>
      <c r="R121" s="383"/>
      <c r="S121" s="383"/>
      <c r="T121" s="383"/>
      <c r="U121" s="383"/>
      <c r="V121" s="383"/>
      <c r="W121" s="383"/>
      <c r="X121" s="383"/>
      <c r="Y121" s="383"/>
      <c r="Z121" s="383"/>
      <c r="AA121" s="383"/>
      <c r="AB121" s="383"/>
      <c r="AC121" s="383"/>
      <c r="AD121" s="383"/>
      <c r="AE121" s="383"/>
      <c r="AF121" s="383"/>
      <c r="AG121" s="383"/>
      <c r="AH121" s="383"/>
      <c r="AI121" s="383"/>
      <c r="AJ121" s="383"/>
      <c r="AK121" s="383"/>
      <c r="AL121" s="383"/>
      <c r="AM121" s="383"/>
      <c r="AN121" s="383"/>
      <c r="AO121" s="383"/>
      <c r="AP121" s="383"/>
      <c r="AQ121" s="384"/>
      <c r="AT121" s="73"/>
      <c r="AU121" s="73"/>
    </row>
    <row r="122" spans="2:55" ht="15" customHeight="1" x14ac:dyDescent="0.25">
      <c r="B122" s="190"/>
      <c r="C122" s="380" t="s">
        <v>112</v>
      </c>
      <c r="D122" s="376" t="s">
        <v>97</v>
      </c>
      <c r="E122" s="377"/>
      <c r="F122" s="377"/>
      <c r="G122" s="378"/>
      <c r="H122" s="376" t="s">
        <v>98</v>
      </c>
      <c r="I122" s="377"/>
      <c r="J122" s="377"/>
      <c r="K122" s="377"/>
      <c r="L122" s="377"/>
      <c r="M122" s="377"/>
      <c r="N122" s="377"/>
      <c r="O122" s="377"/>
      <c r="P122" s="377"/>
      <c r="Q122" s="377"/>
      <c r="R122" s="377"/>
      <c r="S122" s="378"/>
      <c r="T122" s="376" t="s">
        <v>99</v>
      </c>
      <c r="U122" s="377"/>
      <c r="V122" s="377"/>
      <c r="W122" s="377"/>
      <c r="X122" s="377"/>
      <c r="Y122" s="377"/>
      <c r="Z122" s="377"/>
      <c r="AA122" s="377"/>
      <c r="AB122" s="377"/>
      <c r="AC122" s="377"/>
      <c r="AD122" s="377"/>
      <c r="AE122" s="378"/>
      <c r="AF122" s="376" t="s">
        <v>100</v>
      </c>
      <c r="AG122" s="377"/>
      <c r="AH122" s="377"/>
      <c r="AI122" s="377"/>
      <c r="AJ122" s="377"/>
      <c r="AK122" s="377"/>
      <c r="AL122" s="377"/>
      <c r="AM122" s="377"/>
      <c r="AN122" s="377"/>
      <c r="AO122" s="377"/>
      <c r="AP122" s="377"/>
      <c r="AQ122" s="379"/>
      <c r="AT122" s="73"/>
      <c r="AU122" s="73"/>
    </row>
    <row r="123" spans="2:55" x14ac:dyDescent="0.25">
      <c r="B123" s="189" t="s">
        <v>113</v>
      </c>
      <c r="C123" s="381"/>
      <c r="D123" s="331" t="s">
        <v>9</v>
      </c>
      <c r="E123" s="332" t="s">
        <v>10</v>
      </c>
      <c r="F123" s="332" t="s">
        <v>11</v>
      </c>
      <c r="G123" s="333" t="s">
        <v>12</v>
      </c>
      <c r="H123" s="173" t="s">
        <v>35</v>
      </c>
      <c r="I123" s="165" t="s">
        <v>36</v>
      </c>
      <c r="J123" s="165" t="s">
        <v>37</v>
      </c>
      <c r="K123" s="165" t="s">
        <v>38</v>
      </c>
      <c r="L123" s="165" t="s">
        <v>39</v>
      </c>
      <c r="M123" s="165" t="s">
        <v>40</v>
      </c>
      <c r="N123" s="165" t="s">
        <v>41</v>
      </c>
      <c r="O123" s="165" t="s">
        <v>42</v>
      </c>
      <c r="P123" s="165" t="s">
        <v>43</v>
      </c>
      <c r="Q123" s="165" t="s">
        <v>44</v>
      </c>
      <c r="R123" s="165" t="s">
        <v>45</v>
      </c>
      <c r="S123" s="183" t="s">
        <v>46</v>
      </c>
      <c r="T123" s="173" t="s">
        <v>35</v>
      </c>
      <c r="U123" s="165" t="s">
        <v>36</v>
      </c>
      <c r="V123" s="165" t="s">
        <v>37</v>
      </c>
      <c r="W123" s="165" t="s">
        <v>38</v>
      </c>
      <c r="X123" s="165" t="s">
        <v>39</v>
      </c>
      <c r="Y123" s="165" t="s">
        <v>40</v>
      </c>
      <c r="Z123" s="165" t="s">
        <v>41</v>
      </c>
      <c r="AA123" s="165" t="s">
        <v>42</v>
      </c>
      <c r="AB123" s="165" t="s">
        <v>43</v>
      </c>
      <c r="AC123" s="165" t="s">
        <v>44</v>
      </c>
      <c r="AD123" s="165" t="s">
        <v>45</v>
      </c>
      <c r="AE123" s="183" t="s">
        <v>46</v>
      </c>
      <c r="AF123" s="174" t="s">
        <v>35</v>
      </c>
      <c r="AG123" s="165" t="s">
        <v>36</v>
      </c>
      <c r="AH123" s="165" t="s">
        <v>37</v>
      </c>
      <c r="AI123" s="165" t="s">
        <v>38</v>
      </c>
      <c r="AJ123" s="165" t="s">
        <v>39</v>
      </c>
      <c r="AK123" s="165" t="s">
        <v>40</v>
      </c>
      <c r="AL123" s="165" t="s">
        <v>41</v>
      </c>
      <c r="AM123" s="165" t="s">
        <v>42</v>
      </c>
      <c r="AN123" s="165" t="s">
        <v>43</v>
      </c>
      <c r="AO123" s="165" t="s">
        <v>44</v>
      </c>
      <c r="AP123" s="165" t="s">
        <v>45</v>
      </c>
      <c r="AQ123" s="334" t="s">
        <v>46</v>
      </c>
      <c r="AT123" s="73"/>
      <c r="AU123" s="73"/>
    </row>
    <row r="124" spans="2:55" x14ac:dyDescent="0.25">
      <c r="B124" s="189" t="s">
        <v>114</v>
      </c>
      <c r="C124" s="381"/>
      <c r="D124" s="142">
        <f>1/$C$15*D15*$D$25</f>
        <v>0.27123287671232882</v>
      </c>
      <c r="E124" s="142">
        <f t="shared" ref="E124:G124" si="93">1/$C$15*E15*$D$25</f>
        <v>0.27424657534246577</v>
      </c>
      <c r="F124" s="142">
        <f t="shared" si="93"/>
        <v>0.27726027397260278</v>
      </c>
      <c r="G124" s="144">
        <f t="shared" si="93"/>
        <v>0.27726027397260278</v>
      </c>
      <c r="H124" s="142">
        <f>1/$C$15*H15*$E$25</f>
        <v>0.10616438356164383</v>
      </c>
      <c r="I124" s="142">
        <f t="shared" ref="I124:R124" si="94">1/$C$15*I15*$E$25</f>
        <v>9.5890410958904118E-2</v>
      </c>
      <c r="J124" s="142">
        <f t="shared" si="94"/>
        <v>0.10616438356164383</v>
      </c>
      <c r="K124" s="142">
        <f t="shared" si="94"/>
        <v>0.10273972602739725</v>
      </c>
      <c r="L124" s="142">
        <f t="shared" si="94"/>
        <v>0.10616438356164383</v>
      </c>
      <c r="M124" s="142">
        <f t="shared" si="94"/>
        <v>0.10273972602739725</v>
      </c>
      <c r="N124" s="142">
        <f t="shared" si="94"/>
        <v>0.10616438356164383</v>
      </c>
      <c r="O124" s="142">
        <f t="shared" si="94"/>
        <v>0.10616438356164383</v>
      </c>
      <c r="P124" s="142">
        <f t="shared" si="94"/>
        <v>0.10273972602739725</v>
      </c>
      <c r="Q124" s="142">
        <f t="shared" si="94"/>
        <v>0.10616438356164383</v>
      </c>
      <c r="R124" s="142">
        <f t="shared" si="94"/>
        <v>0.10273972602739725</v>
      </c>
      <c r="S124" s="144">
        <f>1/$C$15*S15*$E$25</f>
        <v>0.10616438356164383</v>
      </c>
      <c r="T124" s="147">
        <f>1/$C$15*$F$25</f>
        <v>4.1095890410958909E-3</v>
      </c>
      <c r="U124" s="147">
        <f t="shared" ref="U124:AE124" si="95">1/$C$15*$F$25</f>
        <v>4.1095890410958909E-3</v>
      </c>
      <c r="V124" s="147">
        <f t="shared" si="95"/>
        <v>4.1095890410958909E-3</v>
      </c>
      <c r="W124" s="147">
        <f t="shared" si="95"/>
        <v>4.1095890410958909E-3</v>
      </c>
      <c r="X124" s="147">
        <f t="shared" si="95"/>
        <v>4.1095890410958909E-3</v>
      </c>
      <c r="Y124" s="147">
        <f t="shared" si="95"/>
        <v>4.1095890410958909E-3</v>
      </c>
      <c r="Z124" s="147">
        <f t="shared" si="95"/>
        <v>4.1095890410958909E-3</v>
      </c>
      <c r="AA124" s="147">
        <f t="shared" si="95"/>
        <v>4.1095890410958909E-3</v>
      </c>
      <c r="AB124" s="147">
        <f t="shared" si="95"/>
        <v>4.1095890410958909E-3</v>
      </c>
      <c r="AC124" s="147">
        <f t="shared" si="95"/>
        <v>4.1095890410958909E-3</v>
      </c>
      <c r="AD124" s="147">
        <f t="shared" si="95"/>
        <v>4.1095890410958909E-3</v>
      </c>
      <c r="AE124" s="144">
        <f t="shared" si="95"/>
        <v>4.1095890410958909E-3</v>
      </c>
      <c r="AF124" s="142">
        <f>1/$C$15*$G$25</f>
        <v>4.6575342465753422E-3</v>
      </c>
      <c r="AG124" s="142">
        <f t="shared" ref="AG124:AQ124" si="96">1/$C$15*$G$25</f>
        <v>4.6575342465753422E-3</v>
      </c>
      <c r="AH124" s="142">
        <f t="shared" si="96"/>
        <v>4.6575342465753422E-3</v>
      </c>
      <c r="AI124" s="142">
        <f t="shared" si="96"/>
        <v>4.6575342465753422E-3</v>
      </c>
      <c r="AJ124" s="142">
        <f t="shared" si="96"/>
        <v>4.6575342465753422E-3</v>
      </c>
      <c r="AK124" s="142">
        <f t="shared" si="96"/>
        <v>4.6575342465753422E-3</v>
      </c>
      <c r="AL124" s="142">
        <f t="shared" si="96"/>
        <v>4.6575342465753422E-3</v>
      </c>
      <c r="AM124" s="142">
        <f t="shared" si="96"/>
        <v>4.6575342465753422E-3</v>
      </c>
      <c r="AN124" s="142">
        <f t="shared" si="96"/>
        <v>4.6575342465753422E-3</v>
      </c>
      <c r="AO124" s="142">
        <f t="shared" si="96"/>
        <v>4.6575342465753422E-3</v>
      </c>
      <c r="AP124" s="142">
        <f t="shared" si="96"/>
        <v>4.6575342465753422E-3</v>
      </c>
      <c r="AQ124" s="200">
        <f t="shared" si="96"/>
        <v>4.6575342465753422E-3</v>
      </c>
      <c r="AT124" s="73"/>
      <c r="AU124" s="73"/>
    </row>
    <row r="125" spans="2:55" x14ac:dyDescent="0.25">
      <c r="B125" s="189" t="s">
        <v>115</v>
      </c>
      <c r="C125" s="381"/>
      <c r="D125" s="142">
        <f>1/$C$15*D15*$H$25</f>
        <v>0.27123287671232882</v>
      </c>
      <c r="E125" s="142">
        <f t="shared" ref="E125:G125" si="97">1/$C$15*E15*$H$25</f>
        <v>0.27424657534246577</v>
      </c>
      <c r="F125" s="142">
        <f t="shared" si="97"/>
        <v>0.27726027397260278</v>
      </c>
      <c r="G125" s="144">
        <f t="shared" si="97"/>
        <v>0.27726027397260278</v>
      </c>
      <c r="H125" s="142">
        <f>1/$C$15*H15*$I$25</f>
        <v>0.10616438356164383</v>
      </c>
      <c r="I125" s="142">
        <f t="shared" ref="I125:R125" si="98">1/$C$15*I15*$I$25</f>
        <v>9.5890410958904118E-2</v>
      </c>
      <c r="J125" s="142">
        <f t="shared" si="98"/>
        <v>0.10616438356164383</v>
      </c>
      <c r="K125" s="142">
        <f t="shared" si="98"/>
        <v>0.10273972602739725</v>
      </c>
      <c r="L125" s="142">
        <f t="shared" si="98"/>
        <v>0.10616438356164383</v>
      </c>
      <c r="M125" s="142">
        <f t="shared" si="98"/>
        <v>0.10273972602739725</v>
      </c>
      <c r="N125" s="142">
        <f t="shared" si="98"/>
        <v>0.10616438356164383</v>
      </c>
      <c r="O125" s="142">
        <f t="shared" si="98"/>
        <v>0.10616438356164383</v>
      </c>
      <c r="P125" s="142">
        <f t="shared" si="98"/>
        <v>0.10273972602739725</v>
      </c>
      <c r="Q125" s="142">
        <f t="shared" si="98"/>
        <v>0.10616438356164383</v>
      </c>
      <c r="R125" s="142">
        <f t="shared" si="98"/>
        <v>0.10273972602739725</v>
      </c>
      <c r="S125" s="144">
        <f>1/$C$15*S15*$I$25</f>
        <v>0.10616438356164383</v>
      </c>
      <c r="T125" s="147">
        <f>1/$C$15*$J$25</f>
        <v>4.1095890410958909E-3</v>
      </c>
      <c r="U125" s="147">
        <f t="shared" ref="U125:AE125" si="99">1/$C$15*$J$25</f>
        <v>4.1095890410958909E-3</v>
      </c>
      <c r="V125" s="147">
        <f t="shared" si="99"/>
        <v>4.1095890410958909E-3</v>
      </c>
      <c r="W125" s="147">
        <f t="shared" si="99"/>
        <v>4.1095890410958909E-3</v>
      </c>
      <c r="X125" s="147">
        <f t="shared" si="99"/>
        <v>4.1095890410958909E-3</v>
      </c>
      <c r="Y125" s="147">
        <f t="shared" si="99"/>
        <v>4.1095890410958909E-3</v>
      </c>
      <c r="Z125" s="147">
        <f t="shared" si="99"/>
        <v>4.1095890410958909E-3</v>
      </c>
      <c r="AA125" s="147">
        <f t="shared" si="99"/>
        <v>4.1095890410958909E-3</v>
      </c>
      <c r="AB125" s="147">
        <f t="shared" si="99"/>
        <v>4.1095890410958909E-3</v>
      </c>
      <c r="AC125" s="147">
        <f t="shared" si="99"/>
        <v>4.1095890410958909E-3</v>
      </c>
      <c r="AD125" s="147">
        <f t="shared" si="99"/>
        <v>4.1095890410958909E-3</v>
      </c>
      <c r="AE125" s="144">
        <f t="shared" si="99"/>
        <v>4.1095890410958909E-3</v>
      </c>
      <c r="AF125" s="142">
        <f>1/$C$15*$K$25</f>
        <v>4.6575342465753422E-3</v>
      </c>
      <c r="AG125" s="142">
        <f t="shared" ref="AG125:AQ125" si="100">1/$C$15*$K$25</f>
        <v>4.6575342465753422E-3</v>
      </c>
      <c r="AH125" s="142">
        <f t="shared" si="100"/>
        <v>4.6575342465753422E-3</v>
      </c>
      <c r="AI125" s="142">
        <f t="shared" si="100"/>
        <v>4.6575342465753422E-3</v>
      </c>
      <c r="AJ125" s="142">
        <f t="shared" si="100"/>
        <v>4.6575342465753422E-3</v>
      </c>
      <c r="AK125" s="142">
        <f t="shared" si="100"/>
        <v>4.6575342465753422E-3</v>
      </c>
      <c r="AL125" s="142">
        <f t="shared" si="100"/>
        <v>4.6575342465753422E-3</v>
      </c>
      <c r="AM125" s="142">
        <f t="shared" si="100"/>
        <v>4.6575342465753422E-3</v>
      </c>
      <c r="AN125" s="142">
        <f t="shared" si="100"/>
        <v>4.6575342465753422E-3</v>
      </c>
      <c r="AO125" s="142">
        <f t="shared" si="100"/>
        <v>4.6575342465753422E-3</v>
      </c>
      <c r="AP125" s="142">
        <f t="shared" si="100"/>
        <v>4.6575342465753422E-3</v>
      </c>
      <c r="AQ125" s="200">
        <f t="shared" si="100"/>
        <v>4.6575342465753422E-3</v>
      </c>
      <c r="AT125" s="73"/>
      <c r="AU125" s="73"/>
    </row>
    <row r="126" spans="2:55" x14ac:dyDescent="0.25">
      <c r="B126" s="189" t="s">
        <v>116</v>
      </c>
      <c r="C126" s="381"/>
      <c r="D126" s="142">
        <f>1/$C$15*D15*$L$25*D46</f>
        <v>0.45616438356164385</v>
      </c>
      <c r="E126" s="142">
        <f t="shared" ref="E126:G126" si="101">1/$C$15*E15*$L$25*E46</f>
        <v>0.22126712328767123</v>
      </c>
      <c r="F126" s="142">
        <f t="shared" si="101"/>
        <v>0.15123287671232877</v>
      </c>
      <c r="G126" s="144">
        <f t="shared" si="101"/>
        <v>0.41904109589041105</v>
      </c>
      <c r="H126" s="142">
        <f>1/$C$15*H15*$M$25*H46</f>
        <v>0.21402739726027398</v>
      </c>
      <c r="I126" s="142">
        <f t="shared" ref="I126:R126" si="102">1/$C$15*I15*$M$25*I46</f>
        <v>0.15073972602739727</v>
      </c>
      <c r="J126" s="142">
        <f t="shared" si="102"/>
        <v>0.186</v>
      </c>
      <c r="K126" s="142">
        <f t="shared" si="102"/>
        <v>0.11465753424657535</v>
      </c>
      <c r="L126" s="142">
        <f t="shared" si="102"/>
        <v>8.4082191780821922E-2</v>
      </c>
      <c r="M126" s="142">
        <f t="shared" si="102"/>
        <v>6.9041095890410964E-2</v>
      </c>
      <c r="N126" s="142">
        <f t="shared" si="102"/>
        <v>5.8602739726027399E-2</v>
      </c>
      <c r="O126" s="142">
        <f t="shared" si="102"/>
        <v>6.3698630136986303E-2</v>
      </c>
      <c r="P126" s="142">
        <f t="shared" si="102"/>
        <v>5.7945205479452047E-2</v>
      </c>
      <c r="Q126" s="142">
        <f t="shared" si="102"/>
        <v>0.11975342465753425</v>
      </c>
      <c r="R126" s="142">
        <f t="shared" si="102"/>
        <v>0.16027397260273973</v>
      </c>
      <c r="S126" s="144">
        <f>1/$C$15*S15*$M$25*S46</f>
        <v>0.22167123287671234</v>
      </c>
      <c r="T126" s="147">
        <f>1/$C$15*$N$25*T46</f>
        <v>1.3808219178082193E-2</v>
      </c>
      <c r="U126" s="147">
        <f t="shared" ref="U126:AE126" si="103">1/$C$15*$N$25*U46</f>
        <v>1.0767123287671234E-2</v>
      </c>
      <c r="V126" s="147">
        <f t="shared" si="103"/>
        <v>1.2E-2</v>
      </c>
      <c r="W126" s="147">
        <f t="shared" si="103"/>
        <v>7.6438356164383577E-3</v>
      </c>
      <c r="X126" s="147">
        <f t="shared" si="103"/>
        <v>5.4246575342465761E-3</v>
      </c>
      <c r="Y126" s="147">
        <f t="shared" si="103"/>
        <v>4.6027397260273986E-3</v>
      </c>
      <c r="Z126" s="147">
        <f t="shared" si="103"/>
        <v>3.7808219178082198E-3</v>
      </c>
      <c r="AA126" s="147">
        <f t="shared" si="103"/>
        <v>4.1095890410958909E-3</v>
      </c>
      <c r="AB126" s="147">
        <f t="shared" si="103"/>
        <v>3.863013698630137E-3</v>
      </c>
      <c r="AC126" s="147">
        <f t="shared" si="103"/>
        <v>7.7260273972602741E-3</v>
      </c>
      <c r="AD126" s="147">
        <f t="shared" si="103"/>
        <v>1.0684931506849316E-2</v>
      </c>
      <c r="AE126" s="144">
        <f t="shared" si="103"/>
        <v>1.43013698630137E-2</v>
      </c>
      <c r="AF126" s="142">
        <f>1/$C$15*$N$25*T46</f>
        <v>1.3808219178082193E-2</v>
      </c>
      <c r="AG126" s="142">
        <f t="shared" ref="AG126:AQ126" si="104">1/$C$15*$N$25*U46</f>
        <v>1.0767123287671234E-2</v>
      </c>
      <c r="AH126" s="142">
        <f t="shared" si="104"/>
        <v>1.2E-2</v>
      </c>
      <c r="AI126" s="142">
        <f t="shared" si="104"/>
        <v>7.6438356164383577E-3</v>
      </c>
      <c r="AJ126" s="142">
        <f t="shared" si="104"/>
        <v>5.4246575342465761E-3</v>
      </c>
      <c r="AK126" s="142">
        <f t="shared" si="104"/>
        <v>4.6027397260273986E-3</v>
      </c>
      <c r="AL126" s="142">
        <f t="shared" si="104"/>
        <v>3.7808219178082198E-3</v>
      </c>
      <c r="AM126" s="142">
        <f t="shared" si="104"/>
        <v>4.1095890410958909E-3</v>
      </c>
      <c r="AN126" s="142">
        <f t="shared" si="104"/>
        <v>3.863013698630137E-3</v>
      </c>
      <c r="AO126" s="142">
        <f t="shared" si="104"/>
        <v>7.7260273972602741E-3</v>
      </c>
      <c r="AP126" s="142">
        <f t="shared" si="104"/>
        <v>1.0684931506849316E-2</v>
      </c>
      <c r="AQ126" s="200">
        <f t="shared" si="104"/>
        <v>1.43013698630137E-2</v>
      </c>
      <c r="AT126" s="73"/>
      <c r="AU126" s="73"/>
    </row>
    <row r="127" spans="2:55" x14ac:dyDescent="0.25">
      <c r="B127" s="189" t="s">
        <v>117</v>
      </c>
      <c r="C127" s="381"/>
      <c r="D127" s="142">
        <f>1/$C$15*D15*$L$25*D36</f>
        <v>0.45616438356164385</v>
      </c>
      <c r="E127" s="142">
        <f t="shared" ref="E127:G127" si="105">1/$C$15*E15*$L$25*E36</f>
        <v>0.22126712328767123</v>
      </c>
      <c r="F127" s="142">
        <f t="shared" si="105"/>
        <v>0.15123287671232877</v>
      </c>
      <c r="G127" s="144">
        <f t="shared" si="105"/>
        <v>0.41904109589041105</v>
      </c>
      <c r="H127" s="142">
        <f>1/$C$15*H15*$M$25*H36</f>
        <v>0.21402739726027398</v>
      </c>
      <c r="I127" s="142">
        <f t="shared" ref="I127:R127" si="106">1/$C$15*I15*$M$25*I36</f>
        <v>0.15073972602739727</v>
      </c>
      <c r="J127" s="142">
        <f t="shared" si="106"/>
        <v>0.186</v>
      </c>
      <c r="K127" s="142">
        <f t="shared" si="106"/>
        <v>0.11465753424657535</v>
      </c>
      <c r="L127" s="142">
        <f t="shared" si="106"/>
        <v>8.4082191780821922E-2</v>
      </c>
      <c r="M127" s="142">
        <f t="shared" si="106"/>
        <v>6.9041095890410964E-2</v>
      </c>
      <c r="N127" s="142">
        <f t="shared" si="106"/>
        <v>5.8602739726027399E-2</v>
      </c>
      <c r="O127" s="142">
        <f t="shared" si="106"/>
        <v>6.3698630136986303E-2</v>
      </c>
      <c r="P127" s="142">
        <f t="shared" si="106"/>
        <v>5.7945205479452047E-2</v>
      </c>
      <c r="Q127" s="142">
        <f t="shared" si="106"/>
        <v>0.11975342465753425</v>
      </c>
      <c r="R127" s="142">
        <f t="shared" si="106"/>
        <v>0.16027397260273973</v>
      </c>
      <c r="S127" s="144">
        <f>1/$C$15*S15*$M$25*S36</f>
        <v>0.22167123287671234</v>
      </c>
      <c r="T127" s="147">
        <f>1/$C$15*$N$25*T36</f>
        <v>1.3808219178082193E-2</v>
      </c>
      <c r="U127" s="147">
        <f t="shared" ref="U127:AE127" si="107">1/$C$15*$N$25*U36</f>
        <v>1.0767123287671234E-2</v>
      </c>
      <c r="V127" s="147">
        <f t="shared" si="107"/>
        <v>1.2E-2</v>
      </c>
      <c r="W127" s="147">
        <f t="shared" si="107"/>
        <v>7.6438356164383577E-3</v>
      </c>
      <c r="X127" s="147">
        <f t="shared" si="107"/>
        <v>5.4246575342465761E-3</v>
      </c>
      <c r="Y127" s="147">
        <f t="shared" si="107"/>
        <v>4.6027397260273986E-3</v>
      </c>
      <c r="Z127" s="147">
        <f t="shared" si="107"/>
        <v>3.7808219178082198E-3</v>
      </c>
      <c r="AA127" s="147">
        <f t="shared" si="107"/>
        <v>4.1095890410958909E-3</v>
      </c>
      <c r="AB127" s="147">
        <f t="shared" si="107"/>
        <v>3.863013698630137E-3</v>
      </c>
      <c r="AC127" s="147">
        <f t="shared" si="107"/>
        <v>7.7260273972602741E-3</v>
      </c>
      <c r="AD127" s="147">
        <f t="shared" si="107"/>
        <v>1.0684931506849316E-2</v>
      </c>
      <c r="AE127" s="144">
        <f t="shared" si="107"/>
        <v>1.43013698630137E-2</v>
      </c>
      <c r="AF127" s="147">
        <f>1/$C$15*$N$25*T36</f>
        <v>1.3808219178082193E-2</v>
      </c>
      <c r="AG127" s="147">
        <f t="shared" ref="AG127:AQ127" si="108">1/$C$15*$N$25*U36</f>
        <v>1.0767123287671234E-2</v>
      </c>
      <c r="AH127" s="147">
        <f t="shared" si="108"/>
        <v>1.2E-2</v>
      </c>
      <c r="AI127" s="147">
        <f t="shared" si="108"/>
        <v>7.6438356164383577E-3</v>
      </c>
      <c r="AJ127" s="147">
        <f t="shared" si="108"/>
        <v>5.4246575342465761E-3</v>
      </c>
      <c r="AK127" s="147">
        <f t="shared" si="108"/>
        <v>4.6027397260273986E-3</v>
      </c>
      <c r="AL127" s="147">
        <f t="shared" si="108"/>
        <v>3.7808219178082198E-3</v>
      </c>
      <c r="AM127" s="147">
        <f t="shared" si="108"/>
        <v>4.1095890410958909E-3</v>
      </c>
      <c r="AN127" s="147">
        <f t="shared" si="108"/>
        <v>3.863013698630137E-3</v>
      </c>
      <c r="AO127" s="147">
        <f t="shared" si="108"/>
        <v>7.7260273972602741E-3</v>
      </c>
      <c r="AP127" s="147">
        <f t="shared" si="108"/>
        <v>1.0684931506849316E-2</v>
      </c>
      <c r="AQ127" s="200">
        <f t="shared" si="108"/>
        <v>1.43013698630137E-2</v>
      </c>
      <c r="AT127" s="73"/>
      <c r="AU127" s="73"/>
    </row>
    <row r="128" spans="2:55" x14ac:dyDescent="0.25">
      <c r="B128" s="190" t="s">
        <v>101</v>
      </c>
      <c r="C128" s="159">
        <f>'Kainos 2026-2028'!I124</f>
        <v>142.77000000000001</v>
      </c>
      <c r="D128" s="141">
        <f>$C$128*D124</f>
        <v>38.723917808219191</v>
      </c>
      <c r="E128" s="141">
        <f t="shared" ref="E128:AQ128" si="109">$C$128*E124</f>
        <v>39.154183561643841</v>
      </c>
      <c r="F128" s="141">
        <f t="shared" si="109"/>
        <v>39.584449315068504</v>
      </c>
      <c r="G128" s="145">
        <f t="shared" si="109"/>
        <v>39.584449315068504</v>
      </c>
      <c r="H128" s="141">
        <f t="shared" si="109"/>
        <v>15.15708904109589</v>
      </c>
      <c r="I128" s="141">
        <f t="shared" si="109"/>
        <v>13.690273972602743</v>
      </c>
      <c r="J128" s="141">
        <f t="shared" si="109"/>
        <v>15.15708904109589</v>
      </c>
      <c r="K128" s="141">
        <f t="shared" si="109"/>
        <v>14.668150684931508</v>
      </c>
      <c r="L128" s="141">
        <f t="shared" si="109"/>
        <v>15.15708904109589</v>
      </c>
      <c r="M128" s="141">
        <f t="shared" si="109"/>
        <v>14.668150684931508</v>
      </c>
      <c r="N128" s="141">
        <f t="shared" si="109"/>
        <v>15.15708904109589</v>
      </c>
      <c r="O128" s="141">
        <f t="shared" si="109"/>
        <v>15.15708904109589</v>
      </c>
      <c r="P128" s="141">
        <f t="shared" si="109"/>
        <v>14.668150684931508</v>
      </c>
      <c r="Q128" s="141">
        <f t="shared" si="109"/>
        <v>15.15708904109589</v>
      </c>
      <c r="R128" s="141">
        <f t="shared" si="109"/>
        <v>14.668150684931508</v>
      </c>
      <c r="S128" s="145">
        <f t="shared" si="109"/>
        <v>15.15708904109589</v>
      </c>
      <c r="T128" s="141">
        <f t="shared" si="109"/>
        <v>0.58672602739726043</v>
      </c>
      <c r="U128" s="141">
        <f t="shared" si="109"/>
        <v>0.58672602739726043</v>
      </c>
      <c r="V128" s="141">
        <f t="shared" si="109"/>
        <v>0.58672602739726043</v>
      </c>
      <c r="W128" s="141">
        <f t="shared" si="109"/>
        <v>0.58672602739726043</v>
      </c>
      <c r="X128" s="141">
        <f t="shared" si="109"/>
        <v>0.58672602739726043</v>
      </c>
      <c r="Y128" s="141">
        <f t="shared" si="109"/>
        <v>0.58672602739726043</v>
      </c>
      <c r="Z128" s="141">
        <f t="shared" si="109"/>
        <v>0.58672602739726043</v>
      </c>
      <c r="AA128" s="141">
        <f t="shared" si="109"/>
        <v>0.58672602739726043</v>
      </c>
      <c r="AB128" s="141">
        <f t="shared" si="109"/>
        <v>0.58672602739726043</v>
      </c>
      <c r="AC128" s="141">
        <f t="shared" si="109"/>
        <v>0.58672602739726043</v>
      </c>
      <c r="AD128" s="141">
        <f t="shared" si="109"/>
        <v>0.58672602739726043</v>
      </c>
      <c r="AE128" s="145">
        <f t="shared" si="109"/>
        <v>0.58672602739726043</v>
      </c>
      <c r="AF128" s="141">
        <f t="shared" si="109"/>
        <v>0.66495616438356164</v>
      </c>
      <c r="AG128" s="141">
        <f t="shared" si="109"/>
        <v>0.66495616438356164</v>
      </c>
      <c r="AH128" s="141">
        <f t="shared" si="109"/>
        <v>0.66495616438356164</v>
      </c>
      <c r="AI128" s="141">
        <f t="shared" si="109"/>
        <v>0.66495616438356164</v>
      </c>
      <c r="AJ128" s="141">
        <f t="shared" si="109"/>
        <v>0.66495616438356164</v>
      </c>
      <c r="AK128" s="141">
        <f t="shared" si="109"/>
        <v>0.66495616438356164</v>
      </c>
      <c r="AL128" s="141">
        <f t="shared" si="109"/>
        <v>0.66495616438356164</v>
      </c>
      <c r="AM128" s="141">
        <f t="shared" si="109"/>
        <v>0.66495616438356164</v>
      </c>
      <c r="AN128" s="141">
        <f t="shared" si="109"/>
        <v>0.66495616438356164</v>
      </c>
      <c r="AO128" s="141">
        <f t="shared" si="109"/>
        <v>0.66495616438356164</v>
      </c>
      <c r="AP128" s="141">
        <f t="shared" si="109"/>
        <v>0.66495616438356164</v>
      </c>
      <c r="AQ128" s="201">
        <f t="shared" si="109"/>
        <v>0.66495616438356164</v>
      </c>
      <c r="AT128" s="73"/>
      <c r="AU128" s="73"/>
    </row>
    <row r="129" spans="2:47" x14ac:dyDescent="0.25">
      <c r="B129" s="213" t="s">
        <v>102</v>
      </c>
      <c r="C129" s="159">
        <f>'Kainos 2026-2028'!I125</f>
        <v>0</v>
      </c>
      <c r="D129" s="141">
        <f>$C$129*D124</f>
        <v>0</v>
      </c>
      <c r="E129" s="141">
        <f t="shared" ref="E129:AQ129" si="110">$C$129*E124</f>
        <v>0</v>
      </c>
      <c r="F129" s="141">
        <f t="shared" si="110"/>
        <v>0</v>
      </c>
      <c r="G129" s="145">
        <f t="shared" si="110"/>
        <v>0</v>
      </c>
      <c r="H129" s="141">
        <f t="shared" si="110"/>
        <v>0</v>
      </c>
      <c r="I129" s="141">
        <f t="shared" si="110"/>
        <v>0</v>
      </c>
      <c r="J129" s="141">
        <f t="shared" si="110"/>
        <v>0</v>
      </c>
      <c r="K129" s="141">
        <f t="shared" si="110"/>
        <v>0</v>
      </c>
      <c r="L129" s="141">
        <f t="shared" si="110"/>
        <v>0</v>
      </c>
      <c r="M129" s="141">
        <f t="shared" si="110"/>
        <v>0</v>
      </c>
      <c r="N129" s="141">
        <f t="shared" si="110"/>
        <v>0</v>
      </c>
      <c r="O129" s="141">
        <f t="shared" si="110"/>
        <v>0</v>
      </c>
      <c r="P129" s="141">
        <f t="shared" si="110"/>
        <v>0</v>
      </c>
      <c r="Q129" s="141">
        <f t="shared" si="110"/>
        <v>0</v>
      </c>
      <c r="R129" s="141">
        <f t="shared" si="110"/>
        <v>0</v>
      </c>
      <c r="S129" s="145">
        <f t="shared" si="110"/>
        <v>0</v>
      </c>
      <c r="T129" s="141">
        <f t="shared" si="110"/>
        <v>0</v>
      </c>
      <c r="U129" s="141">
        <f t="shared" si="110"/>
        <v>0</v>
      </c>
      <c r="V129" s="141">
        <f t="shared" si="110"/>
        <v>0</v>
      </c>
      <c r="W129" s="141">
        <f t="shared" si="110"/>
        <v>0</v>
      </c>
      <c r="X129" s="141">
        <f t="shared" si="110"/>
        <v>0</v>
      </c>
      <c r="Y129" s="141">
        <f t="shared" si="110"/>
        <v>0</v>
      </c>
      <c r="Z129" s="141">
        <f t="shared" si="110"/>
        <v>0</v>
      </c>
      <c r="AA129" s="141">
        <f t="shared" si="110"/>
        <v>0</v>
      </c>
      <c r="AB129" s="141">
        <f t="shared" si="110"/>
        <v>0</v>
      </c>
      <c r="AC129" s="141">
        <f t="shared" si="110"/>
        <v>0</v>
      </c>
      <c r="AD129" s="141">
        <f t="shared" si="110"/>
        <v>0</v>
      </c>
      <c r="AE129" s="145">
        <f t="shared" si="110"/>
        <v>0</v>
      </c>
      <c r="AF129" s="141">
        <f t="shared" si="110"/>
        <v>0</v>
      </c>
      <c r="AG129" s="141">
        <f t="shared" si="110"/>
        <v>0</v>
      </c>
      <c r="AH129" s="141">
        <f t="shared" si="110"/>
        <v>0</v>
      </c>
      <c r="AI129" s="141">
        <f t="shared" si="110"/>
        <v>0</v>
      </c>
      <c r="AJ129" s="141">
        <f t="shared" si="110"/>
        <v>0</v>
      </c>
      <c r="AK129" s="141">
        <f t="shared" si="110"/>
        <v>0</v>
      </c>
      <c r="AL129" s="141">
        <f t="shared" si="110"/>
        <v>0</v>
      </c>
      <c r="AM129" s="141">
        <f t="shared" si="110"/>
        <v>0</v>
      </c>
      <c r="AN129" s="141">
        <f t="shared" si="110"/>
        <v>0</v>
      </c>
      <c r="AO129" s="141">
        <f t="shared" si="110"/>
        <v>0</v>
      </c>
      <c r="AP129" s="141">
        <f t="shared" si="110"/>
        <v>0</v>
      </c>
      <c r="AQ129" s="201">
        <f t="shared" si="110"/>
        <v>0</v>
      </c>
      <c r="AT129" s="73"/>
      <c r="AU129" s="73"/>
    </row>
    <row r="130" spans="2:47" x14ac:dyDescent="0.25">
      <c r="B130" s="190" t="s">
        <v>103</v>
      </c>
      <c r="C130" s="159">
        <f>'Kainos 2026-2028'!I126</f>
        <v>142.77000000000001</v>
      </c>
      <c r="D130" s="141">
        <f>$C$130*D124</f>
        <v>38.723917808219191</v>
      </c>
      <c r="E130" s="141">
        <f t="shared" ref="E130:AQ130" si="111">$C$130*E124</f>
        <v>39.154183561643841</v>
      </c>
      <c r="F130" s="141">
        <f t="shared" si="111"/>
        <v>39.584449315068504</v>
      </c>
      <c r="G130" s="145">
        <f t="shared" si="111"/>
        <v>39.584449315068504</v>
      </c>
      <c r="H130" s="141">
        <f t="shared" si="111"/>
        <v>15.15708904109589</v>
      </c>
      <c r="I130" s="141">
        <f t="shared" si="111"/>
        <v>13.690273972602743</v>
      </c>
      <c r="J130" s="141">
        <f t="shared" si="111"/>
        <v>15.15708904109589</v>
      </c>
      <c r="K130" s="141">
        <f t="shared" si="111"/>
        <v>14.668150684931508</v>
      </c>
      <c r="L130" s="141">
        <f t="shared" si="111"/>
        <v>15.15708904109589</v>
      </c>
      <c r="M130" s="141">
        <f t="shared" si="111"/>
        <v>14.668150684931508</v>
      </c>
      <c r="N130" s="141">
        <f t="shared" si="111"/>
        <v>15.15708904109589</v>
      </c>
      <c r="O130" s="141">
        <f t="shared" si="111"/>
        <v>15.15708904109589</v>
      </c>
      <c r="P130" s="141">
        <f t="shared" si="111"/>
        <v>14.668150684931508</v>
      </c>
      <c r="Q130" s="141">
        <f t="shared" si="111"/>
        <v>15.15708904109589</v>
      </c>
      <c r="R130" s="141">
        <f t="shared" si="111"/>
        <v>14.668150684931508</v>
      </c>
      <c r="S130" s="145">
        <f t="shared" si="111"/>
        <v>15.15708904109589</v>
      </c>
      <c r="T130" s="141">
        <f t="shared" si="111"/>
        <v>0.58672602739726043</v>
      </c>
      <c r="U130" s="141">
        <f t="shared" si="111"/>
        <v>0.58672602739726043</v>
      </c>
      <c r="V130" s="141">
        <f t="shared" si="111"/>
        <v>0.58672602739726043</v>
      </c>
      <c r="W130" s="141">
        <f t="shared" si="111"/>
        <v>0.58672602739726043</v>
      </c>
      <c r="X130" s="141">
        <f t="shared" si="111"/>
        <v>0.58672602739726043</v>
      </c>
      <c r="Y130" s="141">
        <f t="shared" si="111"/>
        <v>0.58672602739726043</v>
      </c>
      <c r="Z130" s="141">
        <f t="shared" si="111"/>
        <v>0.58672602739726043</v>
      </c>
      <c r="AA130" s="141">
        <f t="shared" si="111"/>
        <v>0.58672602739726043</v>
      </c>
      <c r="AB130" s="141">
        <f t="shared" si="111"/>
        <v>0.58672602739726043</v>
      </c>
      <c r="AC130" s="141">
        <f t="shared" si="111"/>
        <v>0.58672602739726043</v>
      </c>
      <c r="AD130" s="141">
        <f t="shared" si="111"/>
        <v>0.58672602739726043</v>
      </c>
      <c r="AE130" s="145">
        <f t="shared" si="111"/>
        <v>0.58672602739726043</v>
      </c>
      <c r="AF130" s="141">
        <f t="shared" si="111"/>
        <v>0.66495616438356164</v>
      </c>
      <c r="AG130" s="141">
        <f t="shared" si="111"/>
        <v>0.66495616438356164</v>
      </c>
      <c r="AH130" s="141">
        <f t="shared" si="111"/>
        <v>0.66495616438356164</v>
      </c>
      <c r="AI130" s="141">
        <f t="shared" si="111"/>
        <v>0.66495616438356164</v>
      </c>
      <c r="AJ130" s="141">
        <f t="shared" si="111"/>
        <v>0.66495616438356164</v>
      </c>
      <c r="AK130" s="141">
        <f t="shared" si="111"/>
        <v>0.66495616438356164</v>
      </c>
      <c r="AL130" s="141">
        <f t="shared" si="111"/>
        <v>0.66495616438356164</v>
      </c>
      <c r="AM130" s="141">
        <f t="shared" si="111"/>
        <v>0.66495616438356164</v>
      </c>
      <c r="AN130" s="141">
        <f t="shared" si="111"/>
        <v>0.66495616438356164</v>
      </c>
      <c r="AO130" s="141">
        <f t="shared" si="111"/>
        <v>0.66495616438356164</v>
      </c>
      <c r="AP130" s="141">
        <f t="shared" si="111"/>
        <v>0.66495616438356164</v>
      </c>
      <c r="AQ130" s="201">
        <f t="shared" si="111"/>
        <v>0.66495616438356164</v>
      </c>
      <c r="AT130" s="73"/>
      <c r="AU130" s="73"/>
    </row>
    <row r="131" spans="2:47" x14ac:dyDescent="0.25">
      <c r="B131" s="190" t="s">
        <v>104</v>
      </c>
      <c r="C131" s="159">
        <f>'Kainos 2026-2028'!I127</f>
        <v>142.77000000000001</v>
      </c>
      <c r="D131" s="141">
        <f>$C$131*D124</f>
        <v>38.723917808219191</v>
      </c>
      <c r="E131" s="141">
        <f t="shared" ref="E131:AQ131" si="112">$C$131*E124</f>
        <v>39.154183561643841</v>
      </c>
      <c r="F131" s="141">
        <f t="shared" si="112"/>
        <v>39.584449315068504</v>
      </c>
      <c r="G131" s="145">
        <f t="shared" si="112"/>
        <v>39.584449315068504</v>
      </c>
      <c r="H131" s="141">
        <f t="shared" si="112"/>
        <v>15.15708904109589</v>
      </c>
      <c r="I131" s="141">
        <f t="shared" si="112"/>
        <v>13.690273972602743</v>
      </c>
      <c r="J131" s="141">
        <f t="shared" si="112"/>
        <v>15.15708904109589</v>
      </c>
      <c r="K131" s="141">
        <f t="shared" si="112"/>
        <v>14.668150684931508</v>
      </c>
      <c r="L131" s="141">
        <f t="shared" si="112"/>
        <v>15.15708904109589</v>
      </c>
      <c r="M131" s="141">
        <f t="shared" si="112"/>
        <v>14.668150684931508</v>
      </c>
      <c r="N131" s="141">
        <f t="shared" si="112"/>
        <v>15.15708904109589</v>
      </c>
      <c r="O131" s="141">
        <f t="shared" si="112"/>
        <v>15.15708904109589</v>
      </c>
      <c r="P131" s="141">
        <f t="shared" si="112"/>
        <v>14.668150684931508</v>
      </c>
      <c r="Q131" s="141">
        <f t="shared" si="112"/>
        <v>15.15708904109589</v>
      </c>
      <c r="R131" s="141">
        <f t="shared" si="112"/>
        <v>14.668150684931508</v>
      </c>
      <c r="S131" s="145">
        <f t="shared" si="112"/>
        <v>15.15708904109589</v>
      </c>
      <c r="T131" s="141">
        <f t="shared" si="112"/>
        <v>0.58672602739726043</v>
      </c>
      <c r="U131" s="141">
        <f t="shared" si="112"/>
        <v>0.58672602739726043</v>
      </c>
      <c r="V131" s="141">
        <f t="shared" si="112"/>
        <v>0.58672602739726043</v>
      </c>
      <c r="W131" s="141">
        <f t="shared" si="112"/>
        <v>0.58672602739726043</v>
      </c>
      <c r="X131" s="141">
        <f t="shared" si="112"/>
        <v>0.58672602739726043</v>
      </c>
      <c r="Y131" s="141">
        <f t="shared" si="112"/>
        <v>0.58672602739726043</v>
      </c>
      <c r="Z131" s="141">
        <f t="shared" si="112"/>
        <v>0.58672602739726043</v>
      </c>
      <c r="AA131" s="141">
        <f t="shared" si="112"/>
        <v>0.58672602739726043</v>
      </c>
      <c r="AB131" s="141">
        <f t="shared" si="112"/>
        <v>0.58672602739726043</v>
      </c>
      <c r="AC131" s="141">
        <f t="shared" si="112"/>
        <v>0.58672602739726043</v>
      </c>
      <c r="AD131" s="141">
        <f t="shared" si="112"/>
        <v>0.58672602739726043</v>
      </c>
      <c r="AE131" s="145">
        <f t="shared" si="112"/>
        <v>0.58672602739726043</v>
      </c>
      <c r="AF131" s="141">
        <f t="shared" si="112"/>
        <v>0.66495616438356164</v>
      </c>
      <c r="AG131" s="141">
        <f t="shared" si="112"/>
        <v>0.66495616438356164</v>
      </c>
      <c r="AH131" s="141">
        <f t="shared" si="112"/>
        <v>0.66495616438356164</v>
      </c>
      <c r="AI131" s="141">
        <f t="shared" si="112"/>
        <v>0.66495616438356164</v>
      </c>
      <c r="AJ131" s="141">
        <f t="shared" si="112"/>
        <v>0.66495616438356164</v>
      </c>
      <c r="AK131" s="141">
        <f t="shared" si="112"/>
        <v>0.66495616438356164</v>
      </c>
      <c r="AL131" s="141">
        <f t="shared" si="112"/>
        <v>0.66495616438356164</v>
      </c>
      <c r="AM131" s="141">
        <f t="shared" si="112"/>
        <v>0.66495616438356164</v>
      </c>
      <c r="AN131" s="141">
        <f t="shared" si="112"/>
        <v>0.66495616438356164</v>
      </c>
      <c r="AO131" s="141">
        <f t="shared" si="112"/>
        <v>0.66495616438356164</v>
      </c>
      <c r="AP131" s="141">
        <f t="shared" si="112"/>
        <v>0.66495616438356164</v>
      </c>
      <c r="AQ131" s="201">
        <f t="shared" si="112"/>
        <v>0.66495616438356164</v>
      </c>
      <c r="AT131" s="73"/>
      <c r="AU131" s="73"/>
    </row>
    <row r="132" spans="2:47" x14ac:dyDescent="0.25">
      <c r="B132" s="190" t="s">
        <v>105</v>
      </c>
      <c r="C132" s="159">
        <f>'Kainos 2026-2028'!I128</f>
        <v>142.77000000000001</v>
      </c>
      <c r="D132" s="141">
        <f>$C$132*D124</f>
        <v>38.723917808219191</v>
      </c>
      <c r="E132" s="141">
        <f t="shared" ref="E132:AQ132" si="113">$C$132*E124</f>
        <v>39.154183561643841</v>
      </c>
      <c r="F132" s="141">
        <f t="shared" si="113"/>
        <v>39.584449315068504</v>
      </c>
      <c r="G132" s="145">
        <f t="shared" si="113"/>
        <v>39.584449315068504</v>
      </c>
      <c r="H132" s="141">
        <f t="shared" si="113"/>
        <v>15.15708904109589</v>
      </c>
      <c r="I132" s="141">
        <f t="shared" si="113"/>
        <v>13.690273972602743</v>
      </c>
      <c r="J132" s="141">
        <f t="shared" si="113"/>
        <v>15.15708904109589</v>
      </c>
      <c r="K132" s="141">
        <f t="shared" si="113"/>
        <v>14.668150684931508</v>
      </c>
      <c r="L132" s="141">
        <f t="shared" si="113"/>
        <v>15.15708904109589</v>
      </c>
      <c r="M132" s="141">
        <f t="shared" si="113"/>
        <v>14.668150684931508</v>
      </c>
      <c r="N132" s="141">
        <f t="shared" si="113"/>
        <v>15.15708904109589</v>
      </c>
      <c r="O132" s="141">
        <f t="shared" si="113"/>
        <v>15.15708904109589</v>
      </c>
      <c r="P132" s="141">
        <f t="shared" si="113"/>
        <v>14.668150684931508</v>
      </c>
      <c r="Q132" s="141">
        <f t="shared" si="113"/>
        <v>15.15708904109589</v>
      </c>
      <c r="R132" s="141">
        <f t="shared" si="113"/>
        <v>14.668150684931508</v>
      </c>
      <c r="S132" s="145">
        <f t="shared" si="113"/>
        <v>15.15708904109589</v>
      </c>
      <c r="T132" s="141">
        <f t="shared" si="113"/>
        <v>0.58672602739726043</v>
      </c>
      <c r="U132" s="141">
        <f t="shared" si="113"/>
        <v>0.58672602739726043</v>
      </c>
      <c r="V132" s="141">
        <f t="shared" si="113"/>
        <v>0.58672602739726043</v>
      </c>
      <c r="W132" s="141">
        <f t="shared" si="113"/>
        <v>0.58672602739726043</v>
      </c>
      <c r="X132" s="141">
        <f t="shared" si="113"/>
        <v>0.58672602739726043</v>
      </c>
      <c r="Y132" s="141">
        <f t="shared" si="113"/>
        <v>0.58672602739726043</v>
      </c>
      <c r="Z132" s="141">
        <f t="shared" si="113"/>
        <v>0.58672602739726043</v>
      </c>
      <c r="AA132" s="141">
        <f t="shared" si="113"/>
        <v>0.58672602739726043</v>
      </c>
      <c r="AB132" s="141">
        <f t="shared" si="113"/>
        <v>0.58672602739726043</v>
      </c>
      <c r="AC132" s="141">
        <f t="shared" si="113"/>
        <v>0.58672602739726043</v>
      </c>
      <c r="AD132" s="141">
        <f t="shared" si="113"/>
        <v>0.58672602739726043</v>
      </c>
      <c r="AE132" s="145">
        <f t="shared" si="113"/>
        <v>0.58672602739726043</v>
      </c>
      <c r="AF132" s="141">
        <f t="shared" si="113"/>
        <v>0.66495616438356164</v>
      </c>
      <c r="AG132" s="141">
        <f t="shared" si="113"/>
        <v>0.66495616438356164</v>
      </c>
      <c r="AH132" s="141">
        <f t="shared" si="113"/>
        <v>0.66495616438356164</v>
      </c>
      <c r="AI132" s="141">
        <f t="shared" si="113"/>
        <v>0.66495616438356164</v>
      </c>
      <c r="AJ132" s="141">
        <f t="shared" si="113"/>
        <v>0.66495616438356164</v>
      </c>
      <c r="AK132" s="141">
        <f t="shared" si="113"/>
        <v>0.66495616438356164</v>
      </c>
      <c r="AL132" s="141">
        <f t="shared" si="113"/>
        <v>0.66495616438356164</v>
      </c>
      <c r="AM132" s="141">
        <f t="shared" si="113"/>
        <v>0.66495616438356164</v>
      </c>
      <c r="AN132" s="141">
        <f t="shared" si="113"/>
        <v>0.66495616438356164</v>
      </c>
      <c r="AO132" s="141">
        <f t="shared" si="113"/>
        <v>0.66495616438356164</v>
      </c>
      <c r="AP132" s="141">
        <f t="shared" si="113"/>
        <v>0.66495616438356164</v>
      </c>
      <c r="AQ132" s="201">
        <f t="shared" si="113"/>
        <v>0.66495616438356164</v>
      </c>
      <c r="AT132" s="73"/>
      <c r="AU132" s="73"/>
    </row>
    <row r="133" spans="2:47" x14ac:dyDescent="0.25">
      <c r="B133" s="190" t="s">
        <v>106</v>
      </c>
      <c r="C133" s="159">
        <f>'Kainos 2026-2028'!I129</f>
        <v>142.77000000000001</v>
      </c>
      <c r="D133" s="141">
        <f>$C$133*D124</f>
        <v>38.723917808219191</v>
      </c>
      <c r="E133" s="141">
        <f t="shared" ref="E133:AQ133" si="114">$C$133*E124</f>
        <v>39.154183561643841</v>
      </c>
      <c r="F133" s="141">
        <f t="shared" si="114"/>
        <v>39.584449315068504</v>
      </c>
      <c r="G133" s="145">
        <f t="shared" si="114"/>
        <v>39.584449315068504</v>
      </c>
      <c r="H133" s="141">
        <f t="shared" si="114"/>
        <v>15.15708904109589</v>
      </c>
      <c r="I133" s="141">
        <f t="shared" si="114"/>
        <v>13.690273972602743</v>
      </c>
      <c r="J133" s="141">
        <f t="shared" si="114"/>
        <v>15.15708904109589</v>
      </c>
      <c r="K133" s="141">
        <f t="shared" si="114"/>
        <v>14.668150684931508</v>
      </c>
      <c r="L133" s="141">
        <f t="shared" si="114"/>
        <v>15.15708904109589</v>
      </c>
      <c r="M133" s="141">
        <f t="shared" si="114"/>
        <v>14.668150684931508</v>
      </c>
      <c r="N133" s="141">
        <f t="shared" si="114"/>
        <v>15.15708904109589</v>
      </c>
      <c r="O133" s="141">
        <f t="shared" si="114"/>
        <v>15.15708904109589</v>
      </c>
      <c r="P133" s="141">
        <f t="shared" si="114"/>
        <v>14.668150684931508</v>
      </c>
      <c r="Q133" s="141">
        <f t="shared" si="114"/>
        <v>15.15708904109589</v>
      </c>
      <c r="R133" s="141">
        <f t="shared" si="114"/>
        <v>14.668150684931508</v>
      </c>
      <c r="S133" s="145">
        <f t="shared" si="114"/>
        <v>15.15708904109589</v>
      </c>
      <c r="T133" s="141">
        <f t="shared" si="114"/>
        <v>0.58672602739726043</v>
      </c>
      <c r="U133" s="141">
        <f t="shared" si="114"/>
        <v>0.58672602739726043</v>
      </c>
      <c r="V133" s="141">
        <f t="shared" si="114"/>
        <v>0.58672602739726043</v>
      </c>
      <c r="W133" s="141">
        <f t="shared" si="114"/>
        <v>0.58672602739726043</v>
      </c>
      <c r="X133" s="141">
        <f t="shared" si="114"/>
        <v>0.58672602739726043</v>
      </c>
      <c r="Y133" s="141">
        <f t="shared" si="114"/>
        <v>0.58672602739726043</v>
      </c>
      <c r="Z133" s="141">
        <f t="shared" si="114"/>
        <v>0.58672602739726043</v>
      </c>
      <c r="AA133" s="141">
        <f t="shared" si="114"/>
        <v>0.58672602739726043</v>
      </c>
      <c r="AB133" s="141">
        <f t="shared" si="114"/>
        <v>0.58672602739726043</v>
      </c>
      <c r="AC133" s="141">
        <f t="shared" si="114"/>
        <v>0.58672602739726043</v>
      </c>
      <c r="AD133" s="141">
        <f t="shared" si="114"/>
        <v>0.58672602739726043</v>
      </c>
      <c r="AE133" s="145">
        <f t="shared" si="114"/>
        <v>0.58672602739726043</v>
      </c>
      <c r="AF133" s="141">
        <f t="shared" si="114"/>
        <v>0.66495616438356164</v>
      </c>
      <c r="AG133" s="141">
        <f t="shared" si="114"/>
        <v>0.66495616438356164</v>
      </c>
      <c r="AH133" s="141">
        <f t="shared" si="114"/>
        <v>0.66495616438356164</v>
      </c>
      <c r="AI133" s="141">
        <f t="shared" si="114"/>
        <v>0.66495616438356164</v>
      </c>
      <c r="AJ133" s="141">
        <f t="shared" si="114"/>
        <v>0.66495616438356164</v>
      </c>
      <c r="AK133" s="141">
        <f t="shared" si="114"/>
        <v>0.66495616438356164</v>
      </c>
      <c r="AL133" s="141">
        <f t="shared" si="114"/>
        <v>0.66495616438356164</v>
      </c>
      <c r="AM133" s="141">
        <f t="shared" si="114"/>
        <v>0.66495616438356164</v>
      </c>
      <c r="AN133" s="141">
        <f t="shared" si="114"/>
        <v>0.66495616438356164</v>
      </c>
      <c r="AO133" s="141">
        <f t="shared" si="114"/>
        <v>0.66495616438356164</v>
      </c>
      <c r="AP133" s="141">
        <f t="shared" si="114"/>
        <v>0.66495616438356164</v>
      </c>
      <c r="AQ133" s="201">
        <f t="shared" si="114"/>
        <v>0.66495616438356164</v>
      </c>
      <c r="AT133" s="73"/>
      <c r="AU133" s="73"/>
    </row>
    <row r="134" spans="2:47" x14ac:dyDescent="0.25">
      <c r="B134" s="190" t="s">
        <v>107</v>
      </c>
      <c r="C134" s="159">
        <f>'Kainos 2026-2028'!I130</f>
        <v>157.15948796112309</v>
      </c>
      <c r="D134" s="141">
        <f>$C$134*D125</f>
        <v>42.626820022332026</v>
      </c>
      <c r="E134" s="141">
        <f t="shared" ref="E134:AQ134" si="115">$C$134*E125</f>
        <v>43.100451355913485</v>
      </c>
      <c r="F134" s="141">
        <f t="shared" si="115"/>
        <v>43.574082689494958</v>
      </c>
      <c r="G134" s="145">
        <f t="shared" si="115"/>
        <v>43.574082689494958</v>
      </c>
      <c r="H134" s="141">
        <f t="shared" si="115"/>
        <v>16.684740160256219</v>
      </c>
      <c r="I134" s="141">
        <f t="shared" si="115"/>
        <v>15.070087886683037</v>
      </c>
      <c r="J134" s="141">
        <f t="shared" si="115"/>
        <v>16.684740160256219</v>
      </c>
      <c r="K134" s="141">
        <f t="shared" si="115"/>
        <v>16.146522735731825</v>
      </c>
      <c r="L134" s="141">
        <f t="shared" si="115"/>
        <v>16.684740160256219</v>
      </c>
      <c r="M134" s="141">
        <f t="shared" si="115"/>
        <v>16.146522735731825</v>
      </c>
      <c r="N134" s="141">
        <f t="shared" si="115"/>
        <v>16.684740160256219</v>
      </c>
      <c r="O134" s="141">
        <f t="shared" si="115"/>
        <v>16.684740160256219</v>
      </c>
      <c r="P134" s="141">
        <f t="shared" si="115"/>
        <v>16.146522735731825</v>
      </c>
      <c r="Q134" s="141">
        <f t="shared" si="115"/>
        <v>16.684740160256219</v>
      </c>
      <c r="R134" s="141">
        <f t="shared" si="115"/>
        <v>16.146522735731825</v>
      </c>
      <c r="S134" s="145">
        <f t="shared" si="115"/>
        <v>16.684740160256219</v>
      </c>
      <c r="T134" s="141">
        <f t="shared" si="115"/>
        <v>0.6458609094292731</v>
      </c>
      <c r="U134" s="141">
        <f t="shared" si="115"/>
        <v>0.6458609094292731</v>
      </c>
      <c r="V134" s="141">
        <f t="shared" si="115"/>
        <v>0.6458609094292731</v>
      </c>
      <c r="W134" s="141">
        <f t="shared" si="115"/>
        <v>0.6458609094292731</v>
      </c>
      <c r="X134" s="141">
        <f t="shared" si="115"/>
        <v>0.6458609094292731</v>
      </c>
      <c r="Y134" s="141">
        <f t="shared" si="115"/>
        <v>0.6458609094292731</v>
      </c>
      <c r="Z134" s="141">
        <f t="shared" si="115"/>
        <v>0.6458609094292731</v>
      </c>
      <c r="AA134" s="141">
        <f t="shared" si="115"/>
        <v>0.6458609094292731</v>
      </c>
      <c r="AB134" s="141">
        <f t="shared" si="115"/>
        <v>0.6458609094292731</v>
      </c>
      <c r="AC134" s="141">
        <f t="shared" si="115"/>
        <v>0.6458609094292731</v>
      </c>
      <c r="AD134" s="141">
        <f t="shared" si="115"/>
        <v>0.6458609094292731</v>
      </c>
      <c r="AE134" s="145">
        <f t="shared" si="115"/>
        <v>0.6458609094292731</v>
      </c>
      <c r="AF134" s="141">
        <f t="shared" si="115"/>
        <v>0.73197569735317602</v>
      </c>
      <c r="AG134" s="141">
        <f t="shared" si="115"/>
        <v>0.73197569735317602</v>
      </c>
      <c r="AH134" s="141">
        <f t="shared" si="115"/>
        <v>0.73197569735317602</v>
      </c>
      <c r="AI134" s="141">
        <f t="shared" si="115"/>
        <v>0.73197569735317602</v>
      </c>
      <c r="AJ134" s="141">
        <f t="shared" si="115"/>
        <v>0.73197569735317602</v>
      </c>
      <c r="AK134" s="141">
        <f t="shared" si="115"/>
        <v>0.73197569735317602</v>
      </c>
      <c r="AL134" s="141">
        <f t="shared" si="115"/>
        <v>0.73197569735317602</v>
      </c>
      <c r="AM134" s="141">
        <f t="shared" si="115"/>
        <v>0.73197569735317602</v>
      </c>
      <c r="AN134" s="141">
        <f t="shared" si="115"/>
        <v>0.73197569735317602</v>
      </c>
      <c r="AO134" s="141">
        <f t="shared" si="115"/>
        <v>0.73197569735317602</v>
      </c>
      <c r="AP134" s="141">
        <f t="shared" si="115"/>
        <v>0.73197569735317602</v>
      </c>
      <c r="AQ134" s="201">
        <f t="shared" si="115"/>
        <v>0.73197569735317602</v>
      </c>
      <c r="AT134" s="73"/>
      <c r="AU134" s="73"/>
    </row>
    <row r="135" spans="2:47" x14ac:dyDescent="0.25">
      <c r="B135" s="190" t="s">
        <v>108</v>
      </c>
      <c r="C135" s="159">
        <f>'Kainos 2026-2028'!I131</f>
        <v>157.15948796112309</v>
      </c>
      <c r="D135" s="141">
        <f>$C$135*D126</f>
        <v>71.690560946649299</v>
      </c>
      <c r="E135" s="141">
        <f t="shared" ref="E135:AQ135" si="116">$C$135*E126</f>
        <v>34.774227798521103</v>
      </c>
      <c r="F135" s="141">
        <f t="shared" si="116"/>
        <v>23.767681466997246</v>
      </c>
      <c r="G135" s="145">
        <f t="shared" si="116"/>
        <v>65.856284064804882</v>
      </c>
      <c r="H135" s="141">
        <f t="shared" si="116"/>
        <v>33.636436163076539</v>
      </c>
      <c r="I135" s="141">
        <f t="shared" si="116"/>
        <v>23.690178157865734</v>
      </c>
      <c r="J135" s="141">
        <f t="shared" si="116"/>
        <v>29.231664760768894</v>
      </c>
      <c r="K135" s="141">
        <f t="shared" si="116"/>
        <v>18.019519373076719</v>
      </c>
      <c r="L135" s="141">
        <f t="shared" si="116"/>
        <v>13.214314206922925</v>
      </c>
      <c r="M135" s="141">
        <f t="shared" si="116"/>
        <v>10.850463278411787</v>
      </c>
      <c r="N135" s="141">
        <f t="shared" si="116"/>
        <v>9.2099765684614336</v>
      </c>
      <c r="O135" s="141">
        <f t="shared" si="116"/>
        <v>10.010844096153731</v>
      </c>
      <c r="P135" s="141">
        <f t="shared" si="116"/>
        <v>9.106638822952748</v>
      </c>
      <c r="Q135" s="141">
        <f t="shared" si="116"/>
        <v>18.820386900769016</v>
      </c>
      <c r="R135" s="141">
        <f t="shared" si="116"/>
        <v>25.188575467741646</v>
      </c>
      <c r="S135" s="145">
        <f t="shared" si="116"/>
        <v>34.837737454614988</v>
      </c>
      <c r="T135" s="141">
        <f t="shared" si="116"/>
        <v>2.1700926556823572</v>
      </c>
      <c r="U135" s="141">
        <f t="shared" si="116"/>
        <v>1.6921555827046955</v>
      </c>
      <c r="V135" s="141">
        <f t="shared" si="116"/>
        <v>1.8859138555334771</v>
      </c>
      <c r="W135" s="141">
        <f t="shared" si="116"/>
        <v>1.201301291538448</v>
      </c>
      <c r="X135" s="141">
        <f t="shared" si="116"/>
        <v>0.85253640044664047</v>
      </c>
      <c r="Y135" s="141">
        <f t="shared" si="116"/>
        <v>0.72336421856078592</v>
      </c>
      <c r="Z135" s="141">
        <f t="shared" si="116"/>
        <v>0.59419203667493126</v>
      </c>
      <c r="AA135" s="141">
        <f t="shared" si="116"/>
        <v>0.6458609094292731</v>
      </c>
      <c r="AB135" s="141">
        <f t="shared" si="116"/>
        <v>0.60710925486351663</v>
      </c>
      <c r="AC135" s="141">
        <f t="shared" si="116"/>
        <v>1.2142185097270333</v>
      </c>
      <c r="AD135" s="141">
        <f t="shared" si="116"/>
        <v>1.67923836451611</v>
      </c>
      <c r="AE135" s="145">
        <f t="shared" si="116"/>
        <v>2.2475959648138701</v>
      </c>
      <c r="AF135" s="141">
        <f t="shared" si="116"/>
        <v>2.1700926556823572</v>
      </c>
      <c r="AG135" s="141">
        <f t="shared" si="116"/>
        <v>1.6921555827046955</v>
      </c>
      <c r="AH135" s="141">
        <f t="shared" si="116"/>
        <v>1.8859138555334771</v>
      </c>
      <c r="AI135" s="141">
        <f t="shared" si="116"/>
        <v>1.201301291538448</v>
      </c>
      <c r="AJ135" s="141">
        <f t="shared" si="116"/>
        <v>0.85253640044664047</v>
      </c>
      <c r="AK135" s="141">
        <f t="shared" si="116"/>
        <v>0.72336421856078592</v>
      </c>
      <c r="AL135" s="141">
        <f t="shared" si="116"/>
        <v>0.59419203667493126</v>
      </c>
      <c r="AM135" s="141">
        <f t="shared" si="116"/>
        <v>0.6458609094292731</v>
      </c>
      <c r="AN135" s="141">
        <f t="shared" si="116"/>
        <v>0.60710925486351663</v>
      </c>
      <c r="AO135" s="141">
        <f t="shared" si="116"/>
        <v>1.2142185097270333</v>
      </c>
      <c r="AP135" s="141">
        <f t="shared" si="116"/>
        <v>1.67923836451611</v>
      </c>
      <c r="AQ135" s="201">
        <f t="shared" si="116"/>
        <v>2.2475959648138701</v>
      </c>
      <c r="AT135" s="73"/>
      <c r="AU135" s="73"/>
    </row>
    <row r="136" spans="2:47" x14ac:dyDescent="0.25">
      <c r="B136" s="190" t="s">
        <v>109</v>
      </c>
      <c r="C136" s="159">
        <f>'Kainos 2026-2028'!I132</f>
        <v>157.15948796112309</v>
      </c>
      <c r="D136" s="141">
        <f>$C$136*D125</f>
        <v>42.626820022332026</v>
      </c>
      <c r="E136" s="141">
        <f t="shared" ref="E136:AQ136" si="117">$C$136*E125</f>
        <v>43.100451355913485</v>
      </c>
      <c r="F136" s="141">
        <f t="shared" si="117"/>
        <v>43.574082689494958</v>
      </c>
      <c r="G136" s="145">
        <f t="shared" si="117"/>
        <v>43.574082689494958</v>
      </c>
      <c r="H136" s="141">
        <f t="shared" si="117"/>
        <v>16.684740160256219</v>
      </c>
      <c r="I136" s="141">
        <f t="shared" si="117"/>
        <v>15.070087886683037</v>
      </c>
      <c r="J136" s="141">
        <f t="shared" si="117"/>
        <v>16.684740160256219</v>
      </c>
      <c r="K136" s="141">
        <f t="shared" si="117"/>
        <v>16.146522735731825</v>
      </c>
      <c r="L136" s="141">
        <f t="shared" si="117"/>
        <v>16.684740160256219</v>
      </c>
      <c r="M136" s="141">
        <f t="shared" si="117"/>
        <v>16.146522735731825</v>
      </c>
      <c r="N136" s="141">
        <f t="shared" si="117"/>
        <v>16.684740160256219</v>
      </c>
      <c r="O136" s="141">
        <f t="shared" si="117"/>
        <v>16.684740160256219</v>
      </c>
      <c r="P136" s="141">
        <f t="shared" si="117"/>
        <v>16.146522735731825</v>
      </c>
      <c r="Q136" s="141">
        <f t="shared" si="117"/>
        <v>16.684740160256219</v>
      </c>
      <c r="R136" s="141">
        <f t="shared" si="117"/>
        <v>16.146522735731825</v>
      </c>
      <c r="S136" s="145">
        <f t="shared" si="117"/>
        <v>16.684740160256219</v>
      </c>
      <c r="T136" s="141">
        <f t="shared" si="117"/>
        <v>0.6458609094292731</v>
      </c>
      <c r="U136" s="141">
        <f t="shared" si="117"/>
        <v>0.6458609094292731</v>
      </c>
      <c r="V136" s="141">
        <f t="shared" si="117"/>
        <v>0.6458609094292731</v>
      </c>
      <c r="W136" s="141">
        <f t="shared" si="117"/>
        <v>0.6458609094292731</v>
      </c>
      <c r="X136" s="141">
        <f t="shared" si="117"/>
        <v>0.6458609094292731</v>
      </c>
      <c r="Y136" s="141">
        <f t="shared" si="117"/>
        <v>0.6458609094292731</v>
      </c>
      <c r="Z136" s="141">
        <f t="shared" si="117"/>
        <v>0.6458609094292731</v>
      </c>
      <c r="AA136" s="141">
        <f t="shared" si="117"/>
        <v>0.6458609094292731</v>
      </c>
      <c r="AB136" s="141">
        <f t="shared" si="117"/>
        <v>0.6458609094292731</v>
      </c>
      <c r="AC136" s="141">
        <f t="shared" si="117"/>
        <v>0.6458609094292731</v>
      </c>
      <c r="AD136" s="141">
        <f t="shared" si="117"/>
        <v>0.6458609094292731</v>
      </c>
      <c r="AE136" s="145">
        <f t="shared" si="117"/>
        <v>0.6458609094292731</v>
      </c>
      <c r="AF136" s="141">
        <f t="shared" si="117"/>
        <v>0.73197569735317602</v>
      </c>
      <c r="AG136" s="141">
        <f t="shared" si="117"/>
        <v>0.73197569735317602</v>
      </c>
      <c r="AH136" s="141">
        <f t="shared" si="117"/>
        <v>0.73197569735317602</v>
      </c>
      <c r="AI136" s="141">
        <f t="shared" si="117"/>
        <v>0.73197569735317602</v>
      </c>
      <c r="AJ136" s="141">
        <f t="shared" si="117"/>
        <v>0.73197569735317602</v>
      </c>
      <c r="AK136" s="141">
        <f t="shared" si="117"/>
        <v>0.73197569735317602</v>
      </c>
      <c r="AL136" s="141">
        <f t="shared" si="117"/>
        <v>0.73197569735317602</v>
      </c>
      <c r="AM136" s="141">
        <f t="shared" si="117"/>
        <v>0.73197569735317602</v>
      </c>
      <c r="AN136" s="141">
        <f t="shared" si="117"/>
        <v>0.73197569735317602</v>
      </c>
      <c r="AO136" s="141">
        <f t="shared" si="117"/>
        <v>0.73197569735317602</v>
      </c>
      <c r="AP136" s="141">
        <f t="shared" si="117"/>
        <v>0.73197569735317602</v>
      </c>
      <c r="AQ136" s="201">
        <f t="shared" si="117"/>
        <v>0.73197569735317602</v>
      </c>
      <c r="AT136" s="73"/>
      <c r="AU136" s="73"/>
    </row>
    <row r="137" spans="2:47" x14ac:dyDescent="0.25">
      <c r="B137" s="190" t="s">
        <v>110</v>
      </c>
      <c r="C137" s="159">
        <f>'Kainos 2026-2028'!I136</f>
        <v>157.15948796112309</v>
      </c>
      <c r="D137" s="141">
        <f>$C$137*D127</f>
        <v>71.690560946649299</v>
      </c>
      <c r="E137" s="141">
        <f t="shared" ref="E137:AQ137" si="118">$C$137*E127</f>
        <v>34.774227798521103</v>
      </c>
      <c r="F137" s="141">
        <f t="shared" si="118"/>
        <v>23.767681466997246</v>
      </c>
      <c r="G137" s="145">
        <f t="shared" si="118"/>
        <v>65.856284064804882</v>
      </c>
      <c r="H137" s="141">
        <f t="shared" si="118"/>
        <v>33.636436163076539</v>
      </c>
      <c r="I137" s="141">
        <f t="shared" si="118"/>
        <v>23.690178157865734</v>
      </c>
      <c r="J137" s="141">
        <f t="shared" si="118"/>
        <v>29.231664760768894</v>
      </c>
      <c r="K137" s="141">
        <f t="shared" si="118"/>
        <v>18.019519373076719</v>
      </c>
      <c r="L137" s="141">
        <f t="shared" si="118"/>
        <v>13.214314206922925</v>
      </c>
      <c r="M137" s="141">
        <f t="shared" si="118"/>
        <v>10.850463278411787</v>
      </c>
      <c r="N137" s="141">
        <f t="shared" si="118"/>
        <v>9.2099765684614336</v>
      </c>
      <c r="O137" s="141">
        <f t="shared" si="118"/>
        <v>10.010844096153731</v>
      </c>
      <c r="P137" s="141">
        <f t="shared" si="118"/>
        <v>9.106638822952748</v>
      </c>
      <c r="Q137" s="141">
        <f t="shared" si="118"/>
        <v>18.820386900769016</v>
      </c>
      <c r="R137" s="141">
        <f t="shared" si="118"/>
        <v>25.188575467741646</v>
      </c>
      <c r="S137" s="145">
        <f t="shared" si="118"/>
        <v>34.837737454614988</v>
      </c>
      <c r="T137" s="141">
        <f t="shared" si="118"/>
        <v>2.1700926556823572</v>
      </c>
      <c r="U137" s="141">
        <f t="shared" si="118"/>
        <v>1.6921555827046955</v>
      </c>
      <c r="V137" s="141">
        <f t="shared" si="118"/>
        <v>1.8859138555334771</v>
      </c>
      <c r="W137" s="141">
        <f t="shared" si="118"/>
        <v>1.201301291538448</v>
      </c>
      <c r="X137" s="141">
        <f t="shared" si="118"/>
        <v>0.85253640044664047</v>
      </c>
      <c r="Y137" s="141">
        <f t="shared" si="118"/>
        <v>0.72336421856078592</v>
      </c>
      <c r="Z137" s="141">
        <f t="shared" si="118"/>
        <v>0.59419203667493126</v>
      </c>
      <c r="AA137" s="141">
        <f t="shared" si="118"/>
        <v>0.6458609094292731</v>
      </c>
      <c r="AB137" s="141">
        <f t="shared" si="118"/>
        <v>0.60710925486351663</v>
      </c>
      <c r="AC137" s="141">
        <f t="shared" si="118"/>
        <v>1.2142185097270333</v>
      </c>
      <c r="AD137" s="141">
        <f t="shared" si="118"/>
        <v>1.67923836451611</v>
      </c>
      <c r="AE137" s="145">
        <f t="shared" si="118"/>
        <v>2.2475959648138701</v>
      </c>
      <c r="AF137" s="141">
        <f t="shared" si="118"/>
        <v>2.1700926556823572</v>
      </c>
      <c r="AG137" s="141">
        <f t="shared" si="118"/>
        <v>1.6921555827046955</v>
      </c>
      <c r="AH137" s="141">
        <f t="shared" si="118"/>
        <v>1.8859138555334771</v>
      </c>
      <c r="AI137" s="141">
        <f t="shared" si="118"/>
        <v>1.201301291538448</v>
      </c>
      <c r="AJ137" s="141">
        <f t="shared" si="118"/>
        <v>0.85253640044664047</v>
      </c>
      <c r="AK137" s="141">
        <f t="shared" si="118"/>
        <v>0.72336421856078592</v>
      </c>
      <c r="AL137" s="141">
        <f t="shared" si="118"/>
        <v>0.59419203667493126</v>
      </c>
      <c r="AM137" s="141">
        <f t="shared" si="118"/>
        <v>0.6458609094292731</v>
      </c>
      <c r="AN137" s="141">
        <f t="shared" si="118"/>
        <v>0.60710925486351663</v>
      </c>
      <c r="AO137" s="141">
        <f t="shared" si="118"/>
        <v>1.2142185097270333</v>
      </c>
      <c r="AP137" s="141">
        <f t="shared" si="118"/>
        <v>1.67923836451611</v>
      </c>
      <c r="AQ137" s="201">
        <f t="shared" si="118"/>
        <v>2.2475959648138701</v>
      </c>
      <c r="AT137" s="73"/>
      <c r="AU137" s="73"/>
    </row>
    <row r="138" spans="2:47" ht="15.75" thickBot="1" x14ac:dyDescent="0.3">
      <c r="B138" s="192" t="s">
        <v>111</v>
      </c>
      <c r="C138" s="203">
        <f>'Kainos 2026-2028'!I137</f>
        <v>157.15948796112309</v>
      </c>
      <c r="D138" s="141">
        <f>$C$138*D127</f>
        <v>71.690560946649299</v>
      </c>
      <c r="E138" s="141">
        <f t="shared" ref="E138:AQ138" si="119">$C$138*E127</f>
        <v>34.774227798521103</v>
      </c>
      <c r="F138" s="141">
        <f t="shared" si="119"/>
        <v>23.767681466997246</v>
      </c>
      <c r="G138" s="145">
        <f t="shared" si="119"/>
        <v>65.856284064804882</v>
      </c>
      <c r="H138" s="141">
        <f t="shared" si="119"/>
        <v>33.636436163076539</v>
      </c>
      <c r="I138" s="141">
        <f t="shared" si="119"/>
        <v>23.690178157865734</v>
      </c>
      <c r="J138" s="141">
        <f t="shared" si="119"/>
        <v>29.231664760768894</v>
      </c>
      <c r="K138" s="141">
        <f t="shared" si="119"/>
        <v>18.019519373076719</v>
      </c>
      <c r="L138" s="141">
        <f t="shared" si="119"/>
        <v>13.214314206922925</v>
      </c>
      <c r="M138" s="141">
        <f t="shared" si="119"/>
        <v>10.850463278411787</v>
      </c>
      <c r="N138" s="141">
        <f t="shared" si="119"/>
        <v>9.2099765684614336</v>
      </c>
      <c r="O138" s="141">
        <f t="shared" si="119"/>
        <v>10.010844096153731</v>
      </c>
      <c r="P138" s="141">
        <f t="shared" si="119"/>
        <v>9.106638822952748</v>
      </c>
      <c r="Q138" s="141">
        <f t="shared" si="119"/>
        <v>18.820386900769016</v>
      </c>
      <c r="R138" s="141">
        <f t="shared" si="119"/>
        <v>25.188575467741646</v>
      </c>
      <c r="S138" s="145">
        <f t="shared" si="119"/>
        <v>34.837737454614988</v>
      </c>
      <c r="T138" s="141">
        <f t="shared" si="119"/>
        <v>2.1700926556823572</v>
      </c>
      <c r="U138" s="141">
        <f t="shared" si="119"/>
        <v>1.6921555827046955</v>
      </c>
      <c r="V138" s="141">
        <f t="shared" si="119"/>
        <v>1.8859138555334771</v>
      </c>
      <c r="W138" s="141">
        <f t="shared" si="119"/>
        <v>1.201301291538448</v>
      </c>
      <c r="X138" s="141">
        <f t="shared" si="119"/>
        <v>0.85253640044664047</v>
      </c>
      <c r="Y138" s="141">
        <f t="shared" si="119"/>
        <v>0.72336421856078592</v>
      </c>
      <c r="Z138" s="141">
        <f t="shared" si="119"/>
        <v>0.59419203667493126</v>
      </c>
      <c r="AA138" s="141">
        <f t="shared" si="119"/>
        <v>0.6458609094292731</v>
      </c>
      <c r="AB138" s="141">
        <f t="shared" si="119"/>
        <v>0.60710925486351663</v>
      </c>
      <c r="AC138" s="141">
        <f t="shared" si="119"/>
        <v>1.2142185097270333</v>
      </c>
      <c r="AD138" s="141">
        <f t="shared" si="119"/>
        <v>1.67923836451611</v>
      </c>
      <c r="AE138" s="145">
        <f t="shared" si="119"/>
        <v>2.2475959648138701</v>
      </c>
      <c r="AF138" s="141">
        <f t="shared" si="119"/>
        <v>2.1700926556823572</v>
      </c>
      <c r="AG138" s="141">
        <f t="shared" si="119"/>
        <v>1.6921555827046955</v>
      </c>
      <c r="AH138" s="141">
        <f t="shared" si="119"/>
        <v>1.8859138555334771</v>
      </c>
      <c r="AI138" s="141">
        <f t="shared" si="119"/>
        <v>1.201301291538448</v>
      </c>
      <c r="AJ138" s="141">
        <f t="shared" si="119"/>
        <v>0.85253640044664047</v>
      </c>
      <c r="AK138" s="141">
        <f t="shared" si="119"/>
        <v>0.72336421856078592</v>
      </c>
      <c r="AL138" s="141">
        <f t="shared" si="119"/>
        <v>0.59419203667493126</v>
      </c>
      <c r="AM138" s="141">
        <f t="shared" si="119"/>
        <v>0.6458609094292731</v>
      </c>
      <c r="AN138" s="141">
        <f t="shared" si="119"/>
        <v>0.60710925486351663</v>
      </c>
      <c r="AO138" s="141">
        <f t="shared" si="119"/>
        <v>1.2142185097270333</v>
      </c>
      <c r="AP138" s="141">
        <f t="shared" si="119"/>
        <v>1.67923836451611</v>
      </c>
      <c r="AQ138" s="201">
        <f t="shared" si="119"/>
        <v>2.2475959648138701</v>
      </c>
      <c r="AT138" s="73"/>
      <c r="AU138" s="73"/>
    </row>
    <row r="139" spans="2:47" ht="15.75" x14ac:dyDescent="0.25">
      <c r="B139" s="382" t="s">
        <v>129</v>
      </c>
      <c r="C139" s="383"/>
      <c r="D139" s="383"/>
      <c r="E139" s="383"/>
      <c r="F139" s="383"/>
      <c r="G139" s="383"/>
      <c r="H139" s="383"/>
      <c r="I139" s="383"/>
      <c r="J139" s="383"/>
      <c r="K139" s="383"/>
      <c r="L139" s="383"/>
      <c r="M139" s="383"/>
      <c r="N139" s="383"/>
      <c r="O139" s="383"/>
      <c r="P139" s="383"/>
      <c r="Q139" s="383"/>
      <c r="R139" s="383"/>
      <c r="S139" s="383"/>
      <c r="T139" s="383"/>
      <c r="U139" s="383"/>
      <c r="V139" s="383"/>
      <c r="W139" s="383"/>
      <c r="X139" s="383"/>
      <c r="Y139" s="383"/>
      <c r="Z139" s="383"/>
      <c r="AA139" s="383"/>
      <c r="AB139" s="383"/>
      <c r="AC139" s="383"/>
      <c r="AD139" s="383"/>
      <c r="AE139" s="383"/>
      <c r="AF139" s="383"/>
      <c r="AG139" s="383"/>
      <c r="AH139" s="383"/>
      <c r="AI139" s="383"/>
      <c r="AJ139" s="383"/>
      <c r="AK139" s="383"/>
      <c r="AL139" s="383"/>
      <c r="AM139" s="383"/>
      <c r="AN139" s="383"/>
      <c r="AO139" s="383"/>
      <c r="AP139" s="383"/>
      <c r="AQ139" s="384"/>
      <c r="AT139" s="73"/>
      <c r="AU139" s="73"/>
    </row>
    <row r="140" spans="2:47" ht="15" customHeight="1" x14ac:dyDescent="0.25">
      <c r="B140" s="190"/>
      <c r="C140" s="380" t="s">
        <v>112</v>
      </c>
      <c r="D140" s="376" t="s">
        <v>97</v>
      </c>
      <c r="E140" s="377"/>
      <c r="F140" s="377"/>
      <c r="G140" s="378"/>
      <c r="H140" s="376" t="s">
        <v>98</v>
      </c>
      <c r="I140" s="377"/>
      <c r="J140" s="377"/>
      <c r="K140" s="377"/>
      <c r="L140" s="377"/>
      <c r="M140" s="377"/>
      <c r="N140" s="377"/>
      <c r="O140" s="377"/>
      <c r="P140" s="377"/>
      <c r="Q140" s="377"/>
      <c r="R140" s="377"/>
      <c r="S140" s="378"/>
      <c r="T140" s="376" t="s">
        <v>99</v>
      </c>
      <c r="U140" s="377"/>
      <c r="V140" s="377"/>
      <c r="W140" s="377"/>
      <c r="X140" s="377"/>
      <c r="Y140" s="377"/>
      <c r="Z140" s="377"/>
      <c r="AA140" s="377"/>
      <c r="AB140" s="377"/>
      <c r="AC140" s="377"/>
      <c r="AD140" s="377"/>
      <c r="AE140" s="378"/>
      <c r="AF140" s="376" t="s">
        <v>100</v>
      </c>
      <c r="AG140" s="377"/>
      <c r="AH140" s="377"/>
      <c r="AI140" s="377"/>
      <c r="AJ140" s="377"/>
      <c r="AK140" s="377"/>
      <c r="AL140" s="377"/>
      <c r="AM140" s="377"/>
      <c r="AN140" s="377"/>
      <c r="AO140" s="377"/>
      <c r="AP140" s="377"/>
      <c r="AQ140" s="379"/>
      <c r="AT140" s="73"/>
      <c r="AU140" s="73"/>
    </row>
    <row r="141" spans="2:47" x14ac:dyDescent="0.25">
      <c r="B141" s="189" t="s">
        <v>113</v>
      </c>
      <c r="C141" s="381"/>
      <c r="D141" s="331" t="s">
        <v>9</v>
      </c>
      <c r="E141" s="332" t="s">
        <v>10</v>
      </c>
      <c r="F141" s="332" t="s">
        <v>11</v>
      </c>
      <c r="G141" s="333" t="s">
        <v>12</v>
      </c>
      <c r="H141" s="173" t="s">
        <v>35</v>
      </c>
      <c r="I141" s="165" t="s">
        <v>36</v>
      </c>
      <c r="J141" s="165" t="s">
        <v>37</v>
      </c>
      <c r="K141" s="165" t="s">
        <v>38</v>
      </c>
      <c r="L141" s="165" t="s">
        <v>39</v>
      </c>
      <c r="M141" s="165" t="s">
        <v>40</v>
      </c>
      <c r="N141" s="165" t="s">
        <v>41</v>
      </c>
      <c r="O141" s="165" t="s">
        <v>42</v>
      </c>
      <c r="P141" s="165" t="s">
        <v>43</v>
      </c>
      <c r="Q141" s="165" t="s">
        <v>44</v>
      </c>
      <c r="R141" s="165" t="s">
        <v>45</v>
      </c>
      <c r="S141" s="183" t="s">
        <v>46</v>
      </c>
      <c r="T141" s="173" t="s">
        <v>35</v>
      </c>
      <c r="U141" s="165" t="s">
        <v>36</v>
      </c>
      <c r="V141" s="165" t="s">
        <v>37</v>
      </c>
      <c r="W141" s="165" t="s">
        <v>38</v>
      </c>
      <c r="X141" s="165" t="s">
        <v>39</v>
      </c>
      <c r="Y141" s="165" t="s">
        <v>40</v>
      </c>
      <c r="Z141" s="165" t="s">
        <v>41</v>
      </c>
      <c r="AA141" s="165" t="s">
        <v>42</v>
      </c>
      <c r="AB141" s="165" t="s">
        <v>43</v>
      </c>
      <c r="AC141" s="165" t="s">
        <v>44</v>
      </c>
      <c r="AD141" s="165" t="s">
        <v>45</v>
      </c>
      <c r="AE141" s="183" t="s">
        <v>46</v>
      </c>
      <c r="AF141" s="174" t="s">
        <v>35</v>
      </c>
      <c r="AG141" s="165" t="s">
        <v>36</v>
      </c>
      <c r="AH141" s="165" t="s">
        <v>37</v>
      </c>
      <c r="AI141" s="165" t="s">
        <v>38</v>
      </c>
      <c r="AJ141" s="165" t="s">
        <v>39</v>
      </c>
      <c r="AK141" s="165" t="s">
        <v>40</v>
      </c>
      <c r="AL141" s="165" t="s">
        <v>41</v>
      </c>
      <c r="AM141" s="165" t="s">
        <v>42</v>
      </c>
      <c r="AN141" s="165" t="s">
        <v>43</v>
      </c>
      <c r="AO141" s="165" t="s">
        <v>44</v>
      </c>
      <c r="AP141" s="165" t="s">
        <v>45</v>
      </c>
      <c r="AQ141" s="334" t="s">
        <v>46</v>
      </c>
      <c r="AT141" s="73"/>
      <c r="AU141" s="73"/>
    </row>
    <row r="142" spans="2:47" x14ac:dyDescent="0.25">
      <c r="B142" s="189" t="s">
        <v>114</v>
      </c>
      <c r="C142" s="381"/>
      <c r="D142" s="142">
        <f>1/$C$16*D16*$D$26</f>
        <v>0.27349726775956285</v>
      </c>
      <c r="E142" s="142">
        <f t="shared" ref="E142:G142" si="120">1/$C$16*E16*$D$26</f>
        <v>0.27349726775956285</v>
      </c>
      <c r="F142" s="142">
        <f t="shared" si="120"/>
        <v>0.2765027322404372</v>
      </c>
      <c r="G142" s="144">
        <f t="shared" si="120"/>
        <v>0.2765027322404372</v>
      </c>
      <c r="H142" s="142">
        <f>1/$C$16*H16*$E$26</f>
        <v>0.1058743169398907</v>
      </c>
      <c r="I142" s="142">
        <f t="shared" ref="I142:S142" si="121">1/$C$16*I16*$E$26</f>
        <v>9.9043715846994534E-2</v>
      </c>
      <c r="J142" s="142">
        <f t="shared" si="121"/>
        <v>0.1058743169398907</v>
      </c>
      <c r="K142" s="142">
        <f t="shared" si="121"/>
        <v>0.10245901639344261</v>
      </c>
      <c r="L142" s="142">
        <f t="shared" si="121"/>
        <v>0.1058743169398907</v>
      </c>
      <c r="M142" s="142">
        <f t="shared" si="121"/>
        <v>0.10245901639344261</v>
      </c>
      <c r="N142" s="142">
        <f t="shared" si="121"/>
        <v>0.1058743169398907</v>
      </c>
      <c r="O142" s="142">
        <f t="shared" si="121"/>
        <v>0.1058743169398907</v>
      </c>
      <c r="P142" s="142">
        <f t="shared" si="121"/>
        <v>0.10245901639344261</v>
      </c>
      <c r="Q142" s="142">
        <f t="shared" si="121"/>
        <v>0.1058743169398907</v>
      </c>
      <c r="R142" s="142">
        <f t="shared" si="121"/>
        <v>0.10245901639344261</v>
      </c>
      <c r="S142" s="144">
        <f t="shared" si="121"/>
        <v>0.1058743169398907</v>
      </c>
      <c r="T142" s="147">
        <f>1/$C$16*$F$26</f>
        <v>4.0983606557377051E-3</v>
      </c>
      <c r="U142" s="147">
        <f t="shared" ref="U142:AE142" si="122">1/$C$16*$F$26</f>
        <v>4.0983606557377051E-3</v>
      </c>
      <c r="V142" s="147">
        <f t="shared" si="122"/>
        <v>4.0983606557377051E-3</v>
      </c>
      <c r="W142" s="147">
        <f t="shared" si="122"/>
        <v>4.0983606557377051E-3</v>
      </c>
      <c r="X142" s="147">
        <f t="shared" si="122"/>
        <v>4.0983606557377051E-3</v>
      </c>
      <c r="Y142" s="147">
        <f t="shared" si="122"/>
        <v>4.0983606557377051E-3</v>
      </c>
      <c r="Z142" s="147">
        <f t="shared" si="122"/>
        <v>4.0983606557377051E-3</v>
      </c>
      <c r="AA142" s="147">
        <f t="shared" si="122"/>
        <v>4.0983606557377051E-3</v>
      </c>
      <c r="AB142" s="147">
        <f t="shared" si="122"/>
        <v>4.0983606557377051E-3</v>
      </c>
      <c r="AC142" s="147">
        <f t="shared" si="122"/>
        <v>4.0983606557377051E-3</v>
      </c>
      <c r="AD142" s="147">
        <f t="shared" si="122"/>
        <v>4.0983606557377051E-3</v>
      </c>
      <c r="AE142" s="144">
        <f t="shared" si="122"/>
        <v>4.0983606557377051E-3</v>
      </c>
      <c r="AF142" s="142">
        <f>1/$C$16*$G$26</f>
        <v>4.6448087431693987E-3</v>
      </c>
      <c r="AG142" s="142">
        <f t="shared" ref="AG142:AQ142" si="123">1/$C$16*$G$26</f>
        <v>4.6448087431693987E-3</v>
      </c>
      <c r="AH142" s="142">
        <f t="shared" si="123"/>
        <v>4.6448087431693987E-3</v>
      </c>
      <c r="AI142" s="142">
        <f t="shared" si="123"/>
        <v>4.6448087431693987E-3</v>
      </c>
      <c r="AJ142" s="142">
        <f t="shared" si="123"/>
        <v>4.6448087431693987E-3</v>
      </c>
      <c r="AK142" s="142">
        <f t="shared" si="123"/>
        <v>4.6448087431693987E-3</v>
      </c>
      <c r="AL142" s="142">
        <f t="shared" si="123"/>
        <v>4.6448087431693987E-3</v>
      </c>
      <c r="AM142" s="142">
        <f t="shared" si="123"/>
        <v>4.6448087431693987E-3</v>
      </c>
      <c r="AN142" s="142">
        <f t="shared" si="123"/>
        <v>4.6448087431693987E-3</v>
      </c>
      <c r="AO142" s="142">
        <f t="shared" si="123"/>
        <v>4.6448087431693987E-3</v>
      </c>
      <c r="AP142" s="142">
        <f t="shared" si="123"/>
        <v>4.6448087431693987E-3</v>
      </c>
      <c r="AQ142" s="200">
        <f t="shared" si="123"/>
        <v>4.6448087431693987E-3</v>
      </c>
      <c r="AT142" s="73"/>
      <c r="AU142" s="73"/>
    </row>
    <row r="143" spans="2:47" x14ac:dyDescent="0.25">
      <c r="B143" s="189" t="s">
        <v>115</v>
      </c>
      <c r="C143" s="381"/>
      <c r="D143" s="142">
        <f>1/$C$16*D16*$H$26</f>
        <v>0.27349726775956285</v>
      </c>
      <c r="E143" s="142">
        <f t="shared" ref="E143:G143" si="124">1/$C$16*E16*$H$26</f>
        <v>0.27349726775956285</v>
      </c>
      <c r="F143" s="142">
        <f t="shared" si="124"/>
        <v>0.2765027322404372</v>
      </c>
      <c r="G143" s="144">
        <f t="shared" si="124"/>
        <v>0.2765027322404372</v>
      </c>
      <c r="H143" s="142">
        <f>1/$C$16*H16*$I$26</f>
        <v>0.1058743169398907</v>
      </c>
      <c r="I143" s="142">
        <f t="shared" ref="I143:S143" si="125">1/$C$16*I16*$I$26</f>
        <v>9.9043715846994534E-2</v>
      </c>
      <c r="J143" s="142">
        <f t="shared" si="125"/>
        <v>0.1058743169398907</v>
      </c>
      <c r="K143" s="142">
        <f t="shared" si="125"/>
        <v>0.10245901639344261</v>
      </c>
      <c r="L143" s="142">
        <f t="shared" si="125"/>
        <v>0.1058743169398907</v>
      </c>
      <c r="M143" s="142">
        <f t="shared" si="125"/>
        <v>0.10245901639344261</v>
      </c>
      <c r="N143" s="142">
        <f t="shared" si="125"/>
        <v>0.1058743169398907</v>
      </c>
      <c r="O143" s="142">
        <f t="shared" si="125"/>
        <v>0.1058743169398907</v>
      </c>
      <c r="P143" s="142">
        <f t="shared" si="125"/>
        <v>0.10245901639344261</v>
      </c>
      <c r="Q143" s="142">
        <f t="shared" si="125"/>
        <v>0.1058743169398907</v>
      </c>
      <c r="R143" s="142">
        <f t="shared" si="125"/>
        <v>0.10245901639344261</v>
      </c>
      <c r="S143" s="144">
        <f t="shared" si="125"/>
        <v>0.1058743169398907</v>
      </c>
      <c r="T143" s="147">
        <f>1/$C$16*$J$26</f>
        <v>4.0983606557377051E-3</v>
      </c>
      <c r="U143" s="147">
        <f t="shared" ref="U143:AE143" si="126">1/$C$16*$J$26</f>
        <v>4.0983606557377051E-3</v>
      </c>
      <c r="V143" s="147">
        <f t="shared" si="126"/>
        <v>4.0983606557377051E-3</v>
      </c>
      <c r="W143" s="147">
        <f t="shared" si="126"/>
        <v>4.0983606557377051E-3</v>
      </c>
      <c r="X143" s="147">
        <f t="shared" si="126"/>
        <v>4.0983606557377051E-3</v>
      </c>
      <c r="Y143" s="147">
        <f t="shared" si="126"/>
        <v>4.0983606557377051E-3</v>
      </c>
      <c r="Z143" s="147">
        <f t="shared" si="126"/>
        <v>4.0983606557377051E-3</v>
      </c>
      <c r="AA143" s="147">
        <f t="shared" si="126"/>
        <v>4.0983606557377051E-3</v>
      </c>
      <c r="AB143" s="147">
        <f t="shared" si="126"/>
        <v>4.0983606557377051E-3</v>
      </c>
      <c r="AC143" s="147">
        <f t="shared" si="126"/>
        <v>4.0983606557377051E-3</v>
      </c>
      <c r="AD143" s="147">
        <f t="shared" si="126"/>
        <v>4.0983606557377051E-3</v>
      </c>
      <c r="AE143" s="144">
        <f t="shared" si="126"/>
        <v>4.0983606557377051E-3</v>
      </c>
      <c r="AF143" s="142">
        <f>1/$C$16*$K$26</f>
        <v>4.6448087431693987E-3</v>
      </c>
      <c r="AG143" s="142">
        <f t="shared" ref="AG143:AQ143" si="127">1/$C$16*$K$26</f>
        <v>4.6448087431693987E-3</v>
      </c>
      <c r="AH143" s="142">
        <f t="shared" si="127"/>
        <v>4.6448087431693987E-3</v>
      </c>
      <c r="AI143" s="142">
        <f t="shared" si="127"/>
        <v>4.6448087431693987E-3</v>
      </c>
      <c r="AJ143" s="142">
        <f t="shared" si="127"/>
        <v>4.6448087431693987E-3</v>
      </c>
      <c r="AK143" s="142">
        <f t="shared" si="127"/>
        <v>4.6448087431693987E-3</v>
      </c>
      <c r="AL143" s="142">
        <f t="shared" si="127"/>
        <v>4.6448087431693987E-3</v>
      </c>
      <c r="AM143" s="142">
        <f t="shared" si="127"/>
        <v>4.6448087431693987E-3</v>
      </c>
      <c r="AN143" s="142">
        <f t="shared" si="127"/>
        <v>4.6448087431693987E-3</v>
      </c>
      <c r="AO143" s="142">
        <f t="shared" si="127"/>
        <v>4.6448087431693987E-3</v>
      </c>
      <c r="AP143" s="142">
        <f t="shared" si="127"/>
        <v>4.6448087431693987E-3</v>
      </c>
      <c r="AQ143" s="200">
        <f t="shared" si="127"/>
        <v>4.6448087431693987E-3</v>
      </c>
      <c r="AT143" s="73"/>
      <c r="AU143" s="73"/>
    </row>
    <row r="144" spans="2:47" x14ac:dyDescent="0.25">
      <c r="B144" s="189" t="s">
        <v>116</v>
      </c>
      <c r="C144" s="381"/>
      <c r="D144" s="142">
        <f>1/$C$16*D16*$L$26*D47</f>
        <v>0.45997267759562838</v>
      </c>
      <c r="E144" s="142">
        <f t="shared" ref="E144:G144" si="128">1/$C$16*E16*$L$26*E47</f>
        <v>0.22066256830601091</v>
      </c>
      <c r="F144" s="142">
        <f t="shared" si="128"/>
        <v>0.15081967213114755</v>
      </c>
      <c r="G144" s="144">
        <f t="shared" si="128"/>
        <v>0.41789617486338804</v>
      </c>
      <c r="H144" s="142">
        <f>1/$C$16*H16*$M$26*H47</f>
        <v>0.21344262295081967</v>
      </c>
      <c r="I144" s="142">
        <f t="shared" ref="I144:S144" si="129">1/$C$16*I16*$M$26*I47</f>
        <v>0.15569672131147544</v>
      </c>
      <c r="J144" s="142">
        <f t="shared" si="129"/>
        <v>0.18549180327868853</v>
      </c>
      <c r="K144" s="142">
        <f t="shared" si="129"/>
        <v>0.11434426229508197</v>
      </c>
      <c r="L144" s="142">
        <f t="shared" si="129"/>
        <v>8.3852459016393446E-2</v>
      </c>
      <c r="M144" s="142">
        <f t="shared" si="129"/>
        <v>6.8852459016393447E-2</v>
      </c>
      <c r="N144" s="142">
        <f t="shared" si="129"/>
        <v>5.8442622950819673E-2</v>
      </c>
      <c r="O144" s="142">
        <f t="shared" si="129"/>
        <v>6.3524590163934427E-2</v>
      </c>
      <c r="P144" s="142">
        <f t="shared" si="129"/>
        <v>5.7786885245901635E-2</v>
      </c>
      <c r="Q144" s="142">
        <f t="shared" si="129"/>
        <v>0.11942622950819672</v>
      </c>
      <c r="R144" s="142">
        <f t="shared" si="129"/>
        <v>0.1598360655737705</v>
      </c>
      <c r="S144" s="144">
        <f t="shared" si="129"/>
        <v>0.2210655737704918</v>
      </c>
      <c r="T144" s="147">
        <f>1/$C$16*$N$26*T47</f>
        <v>1.3770491803278689E-2</v>
      </c>
      <c r="U144" s="147">
        <f t="shared" ref="U144:AE144" si="130">1/$C$16*$N$26*U47</f>
        <v>1.0737704918032788E-2</v>
      </c>
      <c r="V144" s="147">
        <f t="shared" si="130"/>
        <v>1.1967213114754099E-2</v>
      </c>
      <c r="W144" s="147">
        <f t="shared" si="130"/>
        <v>7.6229508196721321E-3</v>
      </c>
      <c r="X144" s="147">
        <f t="shared" si="130"/>
        <v>5.4098360655737707E-3</v>
      </c>
      <c r="Y144" s="147">
        <f t="shared" si="130"/>
        <v>4.5901639344262304E-3</v>
      </c>
      <c r="Z144" s="147">
        <f t="shared" si="130"/>
        <v>3.7704918032786887E-3</v>
      </c>
      <c r="AA144" s="147">
        <f t="shared" si="130"/>
        <v>4.0983606557377051E-3</v>
      </c>
      <c r="AB144" s="147">
        <f t="shared" si="130"/>
        <v>3.8524590163934425E-3</v>
      </c>
      <c r="AC144" s="147">
        <f t="shared" si="130"/>
        <v>7.704918032786885E-3</v>
      </c>
      <c r="AD144" s="147">
        <f t="shared" si="130"/>
        <v>1.0655737704918034E-2</v>
      </c>
      <c r="AE144" s="144">
        <f t="shared" si="130"/>
        <v>1.4262295081967214E-2</v>
      </c>
      <c r="AF144" s="142">
        <f>1/$C$16*$N$26*T47</f>
        <v>1.3770491803278689E-2</v>
      </c>
      <c r="AG144" s="142">
        <f t="shared" ref="AG144:AQ144" si="131">1/$C$16*$N$26*U47</f>
        <v>1.0737704918032788E-2</v>
      </c>
      <c r="AH144" s="142">
        <f t="shared" si="131"/>
        <v>1.1967213114754099E-2</v>
      </c>
      <c r="AI144" s="142">
        <f t="shared" si="131"/>
        <v>7.6229508196721321E-3</v>
      </c>
      <c r="AJ144" s="142">
        <f t="shared" si="131"/>
        <v>5.4098360655737707E-3</v>
      </c>
      <c r="AK144" s="142">
        <f t="shared" si="131"/>
        <v>4.5901639344262304E-3</v>
      </c>
      <c r="AL144" s="142">
        <f t="shared" si="131"/>
        <v>3.7704918032786887E-3</v>
      </c>
      <c r="AM144" s="142">
        <f t="shared" si="131"/>
        <v>4.0983606557377051E-3</v>
      </c>
      <c r="AN144" s="142">
        <f t="shared" si="131"/>
        <v>3.8524590163934425E-3</v>
      </c>
      <c r="AO144" s="142">
        <f t="shared" si="131"/>
        <v>7.704918032786885E-3</v>
      </c>
      <c r="AP144" s="142">
        <f t="shared" si="131"/>
        <v>1.0655737704918034E-2</v>
      </c>
      <c r="AQ144" s="200">
        <f t="shared" si="131"/>
        <v>1.4262295081967214E-2</v>
      </c>
      <c r="AT144" s="73"/>
      <c r="AU144" s="73"/>
    </row>
    <row r="145" spans="2:49" x14ac:dyDescent="0.25">
      <c r="B145" s="189" t="s">
        <v>117</v>
      </c>
      <c r="C145" s="381"/>
      <c r="D145" s="142">
        <f>1/$C$16*D16*$L$26*D37</f>
        <v>0.45997267759562838</v>
      </c>
      <c r="E145" s="142">
        <f t="shared" ref="E145:G145" si="132">1/$C$16*E16*$L$26*E36</f>
        <v>0.22066256830601091</v>
      </c>
      <c r="F145" s="142">
        <f t="shared" si="132"/>
        <v>0.15081967213114755</v>
      </c>
      <c r="G145" s="144">
        <f t="shared" si="132"/>
        <v>0.41789617486338804</v>
      </c>
      <c r="H145" s="142">
        <f>1/$C$16*H16*$M$26*H37</f>
        <v>0.21344262295081967</v>
      </c>
      <c r="I145" s="142">
        <f t="shared" ref="I145:S145" si="133">1/$C$16*I16*$M$26*I37</f>
        <v>0.15569672131147544</v>
      </c>
      <c r="J145" s="142">
        <f t="shared" si="133"/>
        <v>0.18549180327868853</v>
      </c>
      <c r="K145" s="142">
        <f t="shared" si="133"/>
        <v>0.11434426229508197</v>
      </c>
      <c r="L145" s="142">
        <f t="shared" si="133"/>
        <v>8.3852459016393446E-2</v>
      </c>
      <c r="M145" s="142">
        <f t="shared" si="133"/>
        <v>6.8852459016393447E-2</v>
      </c>
      <c r="N145" s="142">
        <f t="shared" si="133"/>
        <v>5.8442622950819673E-2</v>
      </c>
      <c r="O145" s="142">
        <f t="shared" si="133"/>
        <v>6.3524590163934427E-2</v>
      </c>
      <c r="P145" s="142">
        <f t="shared" si="133"/>
        <v>5.7786885245901635E-2</v>
      </c>
      <c r="Q145" s="142">
        <f t="shared" si="133"/>
        <v>0.11942622950819672</v>
      </c>
      <c r="R145" s="142">
        <f t="shared" si="133"/>
        <v>0.1598360655737705</v>
      </c>
      <c r="S145" s="144">
        <f t="shared" si="133"/>
        <v>0.2210655737704918</v>
      </c>
      <c r="T145" s="147">
        <f>1/$C$16*$N$26*T37</f>
        <v>1.3770491803278689E-2</v>
      </c>
      <c r="U145" s="147">
        <f t="shared" ref="U145:AE145" si="134">1/$C$16*$N$26*U37</f>
        <v>1.0737704918032788E-2</v>
      </c>
      <c r="V145" s="147">
        <f t="shared" si="134"/>
        <v>1.1967213114754099E-2</v>
      </c>
      <c r="W145" s="147">
        <f t="shared" si="134"/>
        <v>7.6229508196721321E-3</v>
      </c>
      <c r="X145" s="147">
        <f t="shared" si="134"/>
        <v>5.4098360655737707E-3</v>
      </c>
      <c r="Y145" s="147">
        <f t="shared" si="134"/>
        <v>4.5901639344262304E-3</v>
      </c>
      <c r="Z145" s="147">
        <f t="shared" si="134"/>
        <v>3.7704918032786887E-3</v>
      </c>
      <c r="AA145" s="147">
        <f t="shared" si="134"/>
        <v>4.0983606557377051E-3</v>
      </c>
      <c r="AB145" s="147">
        <f t="shared" si="134"/>
        <v>3.8524590163934425E-3</v>
      </c>
      <c r="AC145" s="147">
        <f t="shared" si="134"/>
        <v>7.704918032786885E-3</v>
      </c>
      <c r="AD145" s="147">
        <f t="shared" si="134"/>
        <v>1.0655737704918034E-2</v>
      </c>
      <c r="AE145" s="144">
        <f t="shared" si="134"/>
        <v>1.4262295081967214E-2</v>
      </c>
      <c r="AF145" s="147">
        <f>1/$C$16*$N$26*T37</f>
        <v>1.3770491803278689E-2</v>
      </c>
      <c r="AG145" s="147">
        <f t="shared" ref="AG145:AQ145" si="135">1/$C$16*$N$26*U37</f>
        <v>1.0737704918032788E-2</v>
      </c>
      <c r="AH145" s="147">
        <f t="shared" si="135"/>
        <v>1.1967213114754099E-2</v>
      </c>
      <c r="AI145" s="147">
        <f t="shared" si="135"/>
        <v>7.6229508196721321E-3</v>
      </c>
      <c r="AJ145" s="147">
        <f t="shared" si="135"/>
        <v>5.4098360655737707E-3</v>
      </c>
      <c r="AK145" s="147">
        <f t="shared" si="135"/>
        <v>4.5901639344262304E-3</v>
      </c>
      <c r="AL145" s="147">
        <f t="shared" si="135"/>
        <v>3.7704918032786887E-3</v>
      </c>
      <c r="AM145" s="147">
        <f t="shared" si="135"/>
        <v>4.0983606557377051E-3</v>
      </c>
      <c r="AN145" s="147">
        <f t="shared" si="135"/>
        <v>3.8524590163934425E-3</v>
      </c>
      <c r="AO145" s="147">
        <f t="shared" si="135"/>
        <v>7.704918032786885E-3</v>
      </c>
      <c r="AP145" s="147">
        <f t="shared" si="135"/>
        <v>1.0655737704918034E-2</v>
      </c>
      <c r="AQ145" s="200">
        <f t="shared" si="135"/>
        <v>1.4262295081967214E-2</v>
      </c>
      <c r="AT145" s="73"/>
      <c r="AU145" s="73"/>
    </row>
    <row r="146" spans="2:49" x14ac:dyDescent="0.25">
      <c r="B146" s="190" t="s">
        <v>101</v>
      </c>
      <c r="C146" s="159">
        <f>'Kainos 2026-2028'!J124</f>
        <v>142.77000000000001</v>
      </c>
      <c r="D146" s="141">
        <f>$C$146*D142</f>
        <v>39.04720491803279</v>
      </c>
      <c r="E146" s="141">
        <f t="shared" ref="E146:AQ146" si="136">$C$146*E142</f>
        <v>39.04720491803279</v>
      </c>
      <c r="F146" s="141">
        <f t="shared" si="136"/>
        <v>39.476295081967223</v>
      </c>
      <c r="G146" s="145">
        <f t="shared" si="136"/>
        <v>39.476295081967223</v>
      </c>
      <c r="H146" s="141">
        <f t="shared" si="136"/>
        <v>15.115676229508196</v>
      </c>
      <c r="I146" s="141">
        <f t="shared" si="136"/>
        <v>14.140471311475411</v>
      </c>
      <c r="J146" s="141">
        <f t="shared" si="136"/>
        <v>15.115676229508196</v>
      </c>
      <c r="K146" s="141">
        <f t="shared" si="136"/>
        <v>14.628073770491802</v>
      </c>
      <c r="L146" s="141">
        <f t="shared" si="136"/>
        <v>15.115676229508196</v>
      </c>
      <c r="M146" s="141">
        <f t="shared" si="136"/>
        <v>14.628073770491802</v>
      </c>
      <c r="N146" s="141">
        <f t="shared" si="136"/>
        <v>15.115676229508196</v>
      </c>
      <c r="O146" s="141">
        <f t="shared" si="136"/>
        <v>15.115676229508196</v>
      </c>
      <c r="P146" s="141">
        <f t="shared" si="136"/>
        <v>14.628073770491802</v>
      </c>
      <c r="Q146" s="141">
        <f t="shared" si="136"/>
        <v>15.115676229508196</v>
      </c>
      <c r="R146" s="141">
        <f t="shared" si="136"/>
        <v>14.628073770491802</v>
      </c>
      <c r="S146" s="145">
        <f t="shared" si="136"/>
        <v>15.115676229508196</v>
      </c>
      <c r="T146" s="141">
        <f t="shared" si="136"/>
        <v>0.58512295081967225</v>
      </c>
      <c r="U146" s="141">
        <f t="shared" si="136"/>
        <v>0.58512295081967225</v>
      </c>
      <c r="V146" s="141">
        <f t="shared" si="136"/>
        <v>0.58512295081967225</v>
      </c>
      <c r="W146" s="141">
        <f t="shared" si="136"/>
        <v>0.58512295081967225</v>
      </c>
      <c r="X146" s="141">
        <f t="shared" si="136"/>
        <v>0.58512295081967225</v>
      </c>
      <c r="Y146" s="141">
        <f t="shared" si="136"/>
        <v>0.58512295081967225</v>
      </c>
      <c r="Z146" s="141">
        <f t="shared" si="136"/>
        <v>0.58512295081967225</v>
      </c>
      <c r="AA146" s="141">
        <f t="shared" si="136"/>
        <v>0.58512295081967225</v>
      </c>
      <c r="AB146" s="141">
        <f t="shared" si="136"/>
        <v>0.58512295081967225</v>
      </c>
      <c r="AC146" s="141">
        <f t="shared" si="136"/>
        <v>0.58512295081967225</v>
      </c>
      <c r="AD146" s="141">
        <f t="shared" si="136"/>
        <v>0.58512295081967225</v>
      </c>
      <c r="AE146" s="145">
        <f t="shared" si="136"/>
        <v>0.58512295081967225</v>
      </c>
      <c r="AF146" s="141">
        <f t="shared" si="136"/>
        <v>0.66313934426229515</v>
      </c>
      <c r="AG146" s="141">
        <f t="shared" si="136"/>
        <v>0.66313934426229515</v>
      </c>
      <c r="AH146" s="141">
        <f t="shared" si="136"/>
        <v>0.66313934426229515</v>
      </c>
      <c r="AI146" s="141">
        <f t="shared" si="136"/>
        <v>0.66313934426229515</v>
      </c>
      <c r="AJ146" s="141">
        <f t="shared" si="136"/>
        <v>0.66313934426229515</v>
      </c>
      <c r="AK146" s="141">
        <f t="shared" si="136"/>
        <v>0.66313934426229515</v>
      </c>
      <c r="AL146" s="141">
        <f t="shared" si="136"/>
        <v>0.66313934426229515</v>
      </c>
      <c r="AM146" s="141">
        <f t="shared" si="136"/>
        <v>0.66313934426229515</v>
      </c>
      <c r="AN146" s="141">
        <f t="shared" si="136"/>
        <v>0.66313934426229515</v>
      </c>
      <c r="AO146" s="141">
        <f t="shared" si="136"/>
        <v>0.66313934426229515</v>
      </c>
      <c r="AP146" s="141">
        <f t="shared" si="136"/>
        <v>0.66313934426229515</v>
      </c>
      <c r="AQ146" s="201">
        <f t="shared" si="136"/>
        <v>0.66313934426229515</v>
      </c>
      <c r="AT146" s="73"/>
      <c r="AU146" s="73"/>
    </row>
    <row r="147" spans="2:49" x14ac:dyDescent="0.25">
      <c r="B147" s="213" t="s">
        <v>102</v>
      </c>
      <c r="C147" s="159">
        <f>'Kainos 2026-2028'!J125</f>
        <v>0</v>
      </c>
      <c r="D147" s="141">
        <f>$C$147/D142</f>
        <v>0</v>
      </c>
      <c r="E147" s="141">
        <f t="shared" ref="E147:AQ147" si="137">$C$147/E142</f>
        <v>0</v>
      </c>
      <c r="F147" s="141">
        <f t="shared" si="137"/>
        <v>0</v>
      </c>
      <c r="G147" s="145">
        <f t="shared" si="137"/>
        <v>0</v>
      </c>
      <c r="H147" s="141">
        <f t="shared" si="137"/>
        <v>0</v>
      </c>
      <c r="I147" s="141">
        <f t="shared" si="137"/>
        <v>0</v>
      </c>
      <c r="J147" s="141">
        <f t="shared" si="137"/>
        <v>0</v>
      </c>
      <c r="K147" s="141">
        <f t="shared" si="137"/>
        <v>0</v>
      </c>
      <c r="L147" s="141">
        <f t="shared" si="137"/>
        <v>0</v>
      </c>
      <c r="M147" s="141">
        <f t="shared" si="137"/>
        <v>0</v>
      </c>
      <c r="N147" s="141">
        <f t="shared" si="137"/>
        <v>0</v>
      </c>
      <c r="O147" s="141">
        <f t="shared" si="137"/>
        <v>0</v>
      </c>
      <c r="P147" s="141">
        <f t="shared" si="137"/>
        <v>0</v>
      </c>
      <c r="Q147" s="141">
        <f t="shared" si="137"/>
        <v>0</v>
      </c>
      <c r="R147" s="141">
        <f t="shared" si="137"/>
        <v>0</v>
      </c>
      <c r="S147" s="145">
        <f t="shared" si="137"/>
        <v>0</v>
      </c>
      <c r="T147" s="141">
        <f t="shared" si="137"/>
        <v>0</v>
      </c>
      <c r="U147" s="141">
        <f t="shared" si="137"/>
        <v>0</v>
      </c>
      <c r="V147" s="141">
        <f t="shared" si="137"/>
        <v>0</v>
      </c>
      <c r="W147" s="141">
        <f t="shared" si="137"/>
        <v>0</v>
      </c>
      <c r="X147" s="141">
        <f t="shared" si="137"/>
        <v>0</v>
      </c>
      <c r="Y147" s="141">
        <f t="shared" si="137"/>
        <v>0</v>
      </c>
      <c r="Z147" s="141">
        <f t="shared" si="137"/>
        <v>0</v>
      </c>
      <c r="AA147" s="141">
        <f t="shared" si="137"/>
        <v>0</v>
      </c>
      <c r="AB147" s="141">
        <f t="shared" si="137"/>
        <v>0</v>
      </c>
      <c r="AC147" s="141">
        <f t="shared" si="137"/>
        <v>0</v>
      </c>
      <c r="AD147" s="141">
        <f t="shared" si="137"/>
        <v>0</v>
      </c>
      <c r="AE147" s="145">
        <f t="shared" si="137"/>
        <v>0</v>
      </c>
      <c r="AF147" s="141">
        <f t="shared" si="137"/>
        <v>0</v>
      </c>
      <c r="AG147" s="141">
        <f t="shared" si="137"/>
        <v>0</v>
      </c>
      <c r="AH147" s="141">
        <f t="shared" si="137"/>
        <v>0</v>
      </c>
      <c r="AI147" s="141">
        <f t="shared" si="137"/>
        <v>0</v>
      </c>
      <c r="AJ147" s="141">
        <f t="shared" si="137"/>
        <v>0</v>
      </c>
      <c r="AK147" s="141">
        <f t="shared" si="137"/>
        <v>0</v>
      </c>
      <c r="AL147" s="141">
        <f t="shared" si="137"/>
        <v>0</v>
      </c>
      <c r="AM147" s="141">
        <f t="shared" si="137"/>
        <v>0</v>
      </c>
      <c r="AN147" s="141">
        <f t="shared" si="137"/>
        <v>0</v>
      </c>
      <c r="AO147" s="141">
        <f t="shared" si="137"/>
        <v>0</v>
      </c>
      <c r="AP147" s="141">
        <f t="shared" si="137"/>
        <v>0</v>
      </c>
      <c r="AQ147" s="201">
        <f t="shared" si="137"/>
        <v>0</v>
      </c>
      <c r="AT147" s="73"/>
      <c r="AU147" s="73"/>
    </row>
    <row r="148" spans="2:49" x14ac:dyDescent="0.25">
      <c r="B148" s="190" t="s">
        <v>103</v>
      </c>
      <c r="C148" s="159">
        <f>'Kainos 2026-2028'!J126</f>
        <v>142.77000000000001</v>
      </c>
      <c r="D148" s="141">
        <f>$C$148*D142</f>
        <v>39.04720491803279</v>
      </c>
      <c r="E148" s="141">
        <f t="shared" ref="E148:AQ148" si="138">$C$148*E142</f>
        <v>39.04720491803279</v>
      </c>
      <c r="F148" s="141">
        <f t="shared" si="138"/>
        <v>39.476295081967223</v>
      </c>
      <c r="G148" s="145">
        <f t="shared" si="138"/>
        <v>39.476295081967223</v>
      </c>
      <c r="H148" s="141">
        <f t="shared" si="138"/>
        <v>15.115676229508196</v>
      </c>
      <c r="I148" s="141">
        <f t="shared" si="138"/>
        <v>14.140471311475411</v>
      </c>
      <c r="J148" s="141">
        <f t="shared" si="138"/>
        <v>15.115676229508196</v>
      </c>
      <c r="K148" s="141">
        <f t="shared" si="138"/>
        <v>14.628073770491802</v>
      </c>
      <c r="L148" s="141">
        <f t="shared" si="138"/>
        <v>15.115676229508196</v>
      </c>
      <c r="M148" s="141">
        <f t="shared" si="138"/>
        <v>14.628073770491802</v>
      </c>
      <c r="N148" s="141">
        <f t="shared" si="138"/>
        <v>15.115676229508196</v>
      </c>
      <c r="O148" s="141">
        <f t="shared" si="138"/>
        <v>15.115676229508196</v>
      </c>
      <c r="P148" s="141">
        <f t="shared" si="138"/>
        <v>14.628073770491802</v>
      </c>
      <c r="Q148" s="141">
        <f t="shared" si="138"/>
        <v>15.115676229508196</v>
      </c>
      <c r="R148" s="141">
        <f t="shared" si="138"/>
        <v>14.628073770491802</v>
      </c>
      <c r="S148" s="145">
        <f t="shared" si="138"/>
        <v>15.115676229508196</v>
      </c>
      <c r="T148" s="141">
        <f t="shared" si="138"/>
        <v>0.58512295081967225</v>
      </c>
      <c r="U148" s="141">
        <f t="shared" si="138"/>
        <v>0.58512295081967225</v>
      </c>
      <c r="V148" s="141">
        <f t="shared" si="138"/>
        <v>0.58512295081967225</v>
      </c>
      <c r="W148" s="141">
        <f t="shared" si="138"/>
        <v>0.58512295081967225</v>
      </c>
      <c r="X148" s="141">
        <f t="shared" si="138"/>
        <v>0.58512295081967225</v>
      </c>
      <c r="Y148" s="141">
        <f t="shared" si="138"/>
        <v>0.58512295081967225</v>
      </c>
      <c r="Z148" s="141">
        <f t="shared" si="138"/>
        <v>0.58512295081967225</v>
      </c>
      <c r="AA148" s="141">
        <f t="shared" si="138"/>
        <v>0.58512295081967225</v>
      </c>
      <c r="AB148" s="141">
        <f t="shared" si="138"/>
        <v>0.58512295081967225</v>
      </c>
      <c r="AC148" s="141">
        <f t="shared" si="138"/>
        <v>0.58512295081967225</v>
      </c>
      <c r="AD148" s="141">
        <f t="shared" si="138"/>
        <v>0.58512295081967225</v>
      </c>
      <c r="AE148" s="145">
        <f t="shared" si="138"/>
        <v>0.58512295081967225</v>
      </c>
      <c r="AF148" s="141">
        <f t="shared" si="138"/>
        <v>0.66313934426229515</v>
      </c>
      <c r="AG148" s="141">
        <f t="shared" si="138"/>
        <v>0.66313934426229515</v>
      </c>
      <c r="AH148" s="141">
        <f t="shared" si="138"/>
        <v>0.66313934426229515</v>
      </c>
      <c r="AI148" s="141">
        <f t="shared" si="138"/>
        <v>0.66313934426229515</v>
      </c>
      <c r="AJ148" s="141">
        <f t="shared" si="138"/>
        <v>0.66313934426229515</v>
      </c>
      <c r="AK148" s="141">
        <f t="shared" si="138"/>
        <v>0.66313934426229515</v>
      </c>
      <c r="AL148" s="141">
        <f t="shared" si="138"/>
        <v>0.66313934426229515</v>
      </c>
      <c r="AM148" s="141">
        <f t="shared" si="138"/>
        <v>0.66313934426229515</v>
      </c>
      <c r="AN148" s="141">
        <f t="shared" si="138"/>
        <v>0.66313934426229515</v>
      </c>
      <c r="AO148" s="141">
        <f t="shared" si="138"/>
        <v>0.66313934426229515</v>
      </c>
      <c r="AP148" s="141">
        <f t="shared" si="138"/>
        <v>0.66313934426229515</v>
      </c>
      <c r="AQ148" s="201">
        <f t="shared" si="138"/>
        <v>0.66313934426229515</v>
      </c>
      <c r="AT148" s="73"/>
      <c r="AU148" s="73"/>
    </row>
    <row r="149" spans="2:49" x14ac:dyDescent="0.25">
      <c r="B149" s="190" t="s">
        <v>104</v>
      </c>
      <c r="C149" s="159">
        <f>'Kainos 2026-2028'!J127</f>
        <v>142.77000000000001</v>
      </c>
      <c r="D149" s="141">
        <f>$C$149*D142</f>
        <v>39.04720491803279</v>
      </c>
      <c r="E149" s="141">
        <f t="shared" ref="E149:AQ149" si="139">$C$149*E142</f>
        <v>39.04720491803279</v>
      </c>
      <c r="F149" s="141">
        <f t="shared" si="139"/>
        <v>39.476295081967223</v>
      </c>
      <c r="G149" s="145">
        <f t="shared" si="139"/>
        <v>39.476295081967223</v>
      </c>
      <c r="H149" s="141">
        <f t="shared" si="139"/>
        <v>15.115676229508196</v>
      </c>
      <c r="I149" s="141">
        <f t="shared" si="139"/>
        <v>14.140471311475411</v>
      </c>
      <c r="J149" s="141">
        <f t="shared" si="139"/>
        <v>15.115676229508196</v>
      </c>
      <c r="K149" s="141">
        <f t="shared" si="139"/>
        <v>14.628073770491802</v>
      </c>
      <c r="L149" s="141">
        <f t="shared" si="139"/>
        <v>15.115676229508196</v>
      </c>
      <c r="M149" s="141">
        <f t="shared" si="139"/>
        <v>14.628073770491802</v>
      </c>
      <c r="N149" s="141">
        <f t="shared" si="139"/>
        <v>15.115676229508196</v>
      </c>
      <c r="O149" s="141">
        <f t="shared" si="139"/>
        <v>15.115676229508196</v>
      </c>
      <c r="P149" s="141">
        <f t="shared" si="139"/>
        <v>14.628073770491802</v>
      </c>
      <c r="Q149" s="141">
        <f t="shared" si="139"/>
        <v>15.115676229508196</v>
      </c>
      <c r="R149" s="141">
        <f t="shared" si="139"/>
        <v>14.628073770491802</v>
      </c>
      <c r="S149" s="145">
        <f t="shared" si="139"/>
        <v>15.115676229508196</v>
      </c>
      <c r="T149" s="141">
        <f t="shared" si="139"/>
        <v>0.58512295081967225</v>
      </c>
      <c r="U149" s="141">
        <f t="shared" si="139"/>
        <v>0.58512295081967225</v>
      </c>
      <c r="V149" s="141">
        <f t="shared" si="139"/>
        <v>0.58512295081967225</v>
      </c>
      <c r="W149" s="141">
        <f t="shared" si="139"/>
        <v>0.58512295081967225</v>
      </c>
      <c r="X149" s="141">
        <f t="shared" si="139"/>
        <v>0.58512295081967225</v>
      </c>
      <c r="Y149" s="141">
        <f t="shared" si="139"/>
        <v>0.58512295081967225</v>
      </c>
      <c r="Z149" s="141">
        <f t="shared" si="139"/>
        <v>0.58512295081967225</v>
      </c>
      <c r="AA149" s="141">
        <f t="shared" si="139"/>
        <v>0.58512295081967225</v>
      </c>
      <c r="AB149" s="141">
        <f t="shared" si="139"/>
        <v>0.58512295081967225</v>
      </c>
      <c r="AC149" s="141">
        <f t="shared" si="139"/>
        <v>0.58512295081967225</v>
      </c>
      <c r="AD149" s="141">
        <f t="shared" si="139"/>
        <v>0.58512295081967225</v>
      </c>
      <c r="AE149" s="145">
        <f t="shared" si="139"/>
        <v>0.58512295081967225</v>
      </c>
      <c r="AF149" s="141">
        <f t="shared" si="139"/>
        <v>0.66313934426229515</v>
      </c>
      <c r="AG149" s="141">
        <f t="shared" si="139"/>
        <v>0.66313934426229515</v>
      </c>
      <c r="AH149" s="141">
        <f t="shared" si="139"/>
        <v>0.66313934426229515</v>
      </c>
      <c r="AI149" s="141">
        <f t="shared" si="139"/>
        <v>0.66313934426229515</v>
      </c>
      <c r="AJ149" s="141">
        <f t="shared" si="139"/>
        <v>0.66313934426229515</v>
      </c>
      <c r="AK149" s="141">
        <f t="shared" si="139"/>
        <v>0.66313934426229515</v>
      </c>
      <c r="AL149" s="141">
        <f t="shared" si="139"/>
        <v>0.66313934426229515</v>
      </c>
      <c r="AM149" s="141">
        <f t="shared" si="139"/>
        <v>0.66313934426229515</v>
      </c>
      <c r="AN149" s="141">
        <f t="shared" si="139"/>
        <v>0.66313934426229515</v>
      </c>
      <c r="AO149" s="141">
        <f t="shared" si="139"/>
        <v>0.66313934426229515</v>
      </c>
      <c r="AP149" s="141">
        <f t="shared" si="139"/>
        <v>0.66313934426229515</v>
      </c>
      <c r="AQ149" s="201">
        <f t="shared" si="139"/>
        <v>0.66313934426229515</v>
      </c>
      <c r="AT149" s="73"/>
      <c r="AU149" s="73"/>
    </row>
    <row r="150" spans="2:49" x14ac:dyDescent="0.25">
      <c r="B150" s="190" t="s">
        <v>105</v>
      </c>
      <c r="C150" s="159">
        <f>'Kainos 2026-2028'!J128</f>
        <v>142.77000000000001</v>
      </c>
      <c r="D150" s="141">
        <f>$C$150*D142</f>
        <v>39.04720491803279</v>
      </c>
      <c r="E150" s="141">
        <f t="shared" ref="E150:AQ150" si="140">$C$150*E142</f>
        <v>39.04720491803279</v>
      </c>
      <c r="F150" s="141">
        <f t="shared" si="140"/>
        <v>39.476295081967223</v>
      </c>
      <c r="G150" s="145">
        <f t="shared" si="140"/>
        <v>39.476295081967223</v>
      </c>
      <c r="H150" s="141">
        <f t="shared" si="140"/>
        <v>15.115676229508196</v>
      </c>
      <c r="I150" s="141">
        <f t="shared" si="140"/>
        <v>14.140471311475411</v>
      </c>
      <c r="J150" s="141">
        <f t="shared" si="140"/>
        <v>15.115676229508196</v>
      </c>
      <c r="K150" s="141">
        <f t="shared" si="140"/>
        <v>14.628073770491802</v>
      </c>
      <c r="L150" s="141">
        <f t="shared" si="140"/>
        <v>15.115676229508196</v>
      </c>
      <c r="M150" s="141">
        <f t="shared" si="140"/>
        <v>14.628073770491802</v>
      </c>
      <c r="N150" s="141">
        <f t="shared" si="140"/>
        <v>15.115676229508196</v>
      </c>
      <c r="O150" s="141">
        <f t="shared" si="140"/>
        <v>15.115676229508196</v>
      </c>
      <c r="P150" s="141">
        <f t="shared" si="140"/>
        <v>14.628073770491802</v>
      </c>
      <c r="Q150" s="141">
        <f t="shared" si="140"/>
        <v>15.115676229508196</v>
      </c>
      <c r="R150" s="141">
        <f t="shared" si="140"/>
        <v>14.628073770491802</v>
      </c>
      <c r="S150" s="145">
        <f t="shared" si="140"/>
        <v>15.115676229508196</v>
      </c>
      <c r="T150" s="141">
        <f t="shared" si="140"/>
        <v>0.58512295081967225</v>
      </c>
      <c r="U150" s="141">
        <f t="shared" si="140"/>
        <v>0.58512295081967225</v>
      </c>
      <c r="V150" s="141">
        <f t="shared" si="140"/>
        <v>0.58512295081967225</v>
      </c>
      <c r="W150" s="141">
        <f t="shared" si="140"/>
        <v>0.58512295081967225</v>
      </c>
      <c r="X150" s="141">
        <f t="shared" si="140"/>
        <v>0.58512295081967225</v>
      </c>
      <c r="Y150" s="141">
        <f t="shared" si="140"/>
        <v>0.58512295081967225</v>
      </c>
      <c r="Z150" s="141">
        <f t="shared" si="140"/>
        <v>0.58512295081967225</v>
      </c>
      <c r="AA150" s="141">
        <f t="shared" si="140"/>
        <v>0.58512295081967225</v>
      </c>
      <c r="AB150" s="141">
        <f t="shared" si="140"/>
        <v>0.58512295081967225</v>
      </c>
      <c r="AC150" s="141">
        <f t="shared" si="140"/>
        <v>0.58512295081967225</v>
      </c>
      <c r="AD150" s="141">
        <f t="shared" si="140"/>
        <v>0.58512295081967225</v>
      </c>
      <c r="AE150" s="145">
        <f t="shared" si="140"/>
        <v>0.58512295081967225</v>
      </c>
      <c r="AF150" s="141">
        <f t="shared" si="140"/>
        <v>0.66313934426229515</v>
      </c>
      <c r="AG150" s="141">
        <f t="shared" si="140"/>
        <v>0.66313934426229515</v>
      </c>
      <c r="AH150" s="141">
        <f t="shared" si="140"/>
        <v>0.66313934426229515</v>
      </c>
      <c r="AI150" s="141">
        <f t="shared" si="140"/>
        <v>0.66313934426229515</v>
      </c>
      <c r="AJ150" s="141">
        <f t="shared" si="140"/>
        <v>0.66313934426229515</v>
      </c>
      <c r="AK150" s="141">
        <f t="shared" si="140"/>
        <v>0.66313934426229515</v>
      </c>
      <c r="AL150" s="141">
        <f t="shared" si="140"/>
        <v>0.66313934426229515</v>
      </c>
      <c r="AM150" s="141">
        <f t="shared" si="140"/>
        <v>0.66313934426229515</v>
      </c>
      <c r="AN150" s="141">
        <f t="shared" si="140"/>
        <v>0.66313934426229515</v>
      </c>
      <c r="AO150" s="141">
        <f t="shared" si="140"/>
        <v>0.66313934426229515</v>
      </c>
      <c r="AP150" s="141">
        <f t="shared" si="140"/>
        <v>0.66313934426229515</v>
      </c>
      <c r="AQ150" s="201">
        <f t="shared" si="140"/>
        <v>0.66313934426229515</v>
      </c>
      <c r="AT150" s="73"/>
      <c r="AU150" s="73"/>
    </row>
    <row r="151" spans="2:49" x14ac:dyDescent="0.25">
      <c r="B151" s="190" t="s">
        <v>106</v>
      </c>
      <c r="C151" s="159">
        <f>'Kainos 2026-2028'!J129</f>
        <v>142.77000000000001</v>
      </c>
      <c r="D151" s="141">
        <f>$C$151*D142</f>
        <v>39.04720491803279</v>
      </c>
      <c r="E151" s="141">
        <f t="shared" ref="E151:AQ151" si="141">$C$151*E142</f>
        <v>39.04720491803279</v>
      </c>
      <c r="F151" s="141">
        <f t="shared" si="141"/>
        <v>39.476295081967223</v>
      </c>
      <c r="G151" s="145">
        <f t="shared" si="141"/>
        <v>39.476295081967223</v>
      </c>
      <c r="H151" s="141">
        <f t="shared" si="141"/>
        <v>15.115676229508196</v>
      </c>
      <c r="I151" s="141">
        <f t="shared" si="141"/>
        <v>14.140471311475411</v>
      </c>
      <c r="J151" s="141">
        <f t="shared" si="141"/>
        <v>15.115676229508196</v>
      </c>
      <c r="K151" s="141">
        <f t="shared" si="141"/>
        <v>14.628073770491802</v>
      </c>
      <c r="L151" s="141">
        <f t="shared" si="141"/>
        <v>15.115676229508196</v>
      </c>
      <c r="M151" s="141">
        <f t="shared" si="141"/>
        <v>14.628073770491802</v>
      </c>
      <c r="N151" s="141">
        <f t="shared" si="141"/>
        <v>15.115676229508196</v>
      </c>
      <c r="O151" s="141">
        <f t="shared" si="141"/>
        <v>15.115676229508196</v>
      </c>
      <c r="P151" s="141">
        <f t="shared" si="141"/>
        <v>14.628073770491802</v>
      </c>
      <c r="Q151" s="141">
        <f t="shared" si="141"/>
        <v>15.115676229508196</v>
      </c>
      <c r="R151" s="141">
        <f t="shared" si="141"/>
        <v>14.628073770491802</v>
      </c>
      <c r="S151" s="145">
        <f t="shared" si="141"/>
        <v>15.115676229508196</v>
      </c>
      <c r="T151" s="141">
        <f t="shared" si="141"/>
        <v>0.58512295081967225</v>
      </c>
      <c r="U151" s="141">
        <f t="shared" si="141"/>
        <v>0.58512295081967225</v>
      </c>
      <c r="V151" s="141">
        <f t="shared" si="141"/>
        <v>0.58512295081967225</v>
      </c>
      <c r="W151" s="141">
        <f t="shared" si="141"/>
        <v>0.58512295081967225</v>
      </c>
      <c r="X151" s="141">
        <f t="shared" si="141"/>
        <v>0.58512295081967225</v>
      </c>
      <c r="Y151" s="141">
        <f t="shared" si="141"/>
        <v>0.58512295081967225</v>
      </c>
      <c r="Z151" s="141">
        <f t="shared" si="141"/>
        <v>0.58512295081967225</v>
      </c>
      <c r="AA151" s="141">
        <f t="shared" si="141"/>
        <v>0.58512295081967225</v>
      </c>
      <c r="AB151" s="141">
        <f t="shared" si="141"/>
        <v>0.58512295081967225</v>
      </c>
      <c r="AC151" s="141">
        <f t="shared" si="141"/>
        <v>0.58512295081967225</v>
      </c>
      <c r="AD151" s="141">
        <f t="shared" si="141"/>
        <v>0.58512295081967225</v>
      </c>
      <c r="AE151" s="145">
        <f t="shared" si="141"/>
        <v>0.58512295081967225</v>
      </c>
      <c r="AF151" s="141">
        <f t="shared" si="141"/>
        <v>0.66313934426229515</v>
      </c>
      <c r="AG151" s="141">
        <f t="shared" si="141"/>
        <v>0.66313934426229515</v>
      </c>
      <c r="AH151" s="141">
        <f t="shared" si="141"/>
        <v>0.66313934426229515</v>
      </c>
      <c r="AI151" s="141">
        <f t="shared" si="141"/>
        <v>0.66313934426229515</v>
      </c>
      <c r="AJ151" s="141">
        <f t="shared" si="141"/>
        <v>0.66313934426229515</v>
      </c>
      <c r="AK151" s="141">
        <f t="shared" si="141"/>
        <v>0.66313934426229515</v>
      </c>
      <c r="AL151" s="141">
        <f t="shared" si="141"/>
        <v>0.66313934426229515</v>
      </c>
      <c r="AM151" s="141">
        <f t="shared" si="141"/>
        <v>0.66313934426229515</v>
      </c>
      <c r="AN151" s="141">
        <f t="shared" si="141"/>
        <v>0.66313934426229515</v>
      </c>
      <c r="AO151" s="141">
        <f t="shared" si="141"/>
        <v>0.66313934426229515</v>
      </c>
      <c r="AP151" s="141">
        <f t="shared" si="141"/>
        <v>0.66313934426229515</v>
      </c>
      <c r="AQ151" s="201">
        <f t="shared" si="141"/>
        <v>0.66313934426229515</v>
      </c>
      <c r="AT151" s="73"/>
      <c r="AU151" s="73"/>
    </row>
    <row r="152" spans="2:49" x14ac:dyDescent="0.25">
      <c r="B152" s="190" t="s">
        <v>107</v>
      </c>
      <c r="C152" s="159">
        <f>'Kainos 2026-2028'!J130</f>
        <v>166.78185248678719</v>
      </c>
      <c r="D152" s="141">
        <f>$C$152*D143</f>
        <v>45.614380967014746</v>
      </c>
      <c r="E152" s="141">
        <f t="shared" ref="E152:AQ152" si="142">$C$152*E143</f>
        <v>45.614380967014746</v>
      </c>
      <c r="F152" s="141">
        <f t="shared" si="142"/>
        <v>46.115637900718212</v>
      </c>
      <c r="G152" s="145">
        <f t="shared" si="142"/>
        <v>46.115637900718212</v>
      </c>
      <c r="H152" s="141">
        <f t="shared" si="142"/>
        <v>17.657914710008207</v>
      </c>
      <c r="I152" s="141">
        <f t="shared" si="142"/>
        <v>16.51869440613671</v>
      </c>
      <c r="J152" s="141">
        <f t="shared" si="142"/>
        <v>17.657914710008207</v>
      </c>
      <c r="K152" s="141">
        <f t="shared" si="142"/>
        <v>17.088304558072455</v>
      </c>
      <c r="L152" s="141">
        <f t="shared" si="142"/>
        <v>17.657914710008207</v>
      </c>
      <c r="M152" s="141">
        <f t="shared" si="142"/>
        <v>17.088304558072455</v>
      </c>
      <c r="N152" s="141">
        <f t="shared" si="142"/>
        <v>17.657914710008207</v>
      </c>
      <c r="O152" s="141">
        <f t="shared" si="142"/>
        <v>17.657914710008207</v>
      </c>
      <c r="P152" s="141">
        <f t="shared" si="142"/>
        <v>17.088304558072455</v>
      </c>
      <c r="Q152" s="141">
        <f t="shared" si="142"/>
        <v>17.657914710008207</v>
      </c>
      <c r="R152" s="141">
        <f t="shared" si="142"/>
        <v>17.088304558072455</v>
      </c>
      <c r="S152" s="145">
        <f t="shared" si="142"/>
        <v>17.657914710008207</v>
      </c>
      <c r="T152" s="141">
        <f t="shared" si="142"/>
        <v>0.68353218232289836</v>
      </c>
      <c r="U152" s="141">
        <f t="shared" si="142"/>
        <v>0.68353218232289836</v>
      </c>
      <c r="V152" s="141">
        <f t="shared" si="142"/>
        <v>0.68353218232289836</v>
      </c>
      <c r="W152" s="141">
        <f t="shared" si="142"/>
        <v>0.68353218232289836</v>
      </c>
      <c r="X152" s="141">
        <f t="shared" si="142"/>
        <v>0.68353218232289836</v>
      </c>
      <c r="Y152" s="141">
        <f t="shared" si="142"/>
        <v>0.68353218232289836</v>
      </c>
      <c r="Z152" s="141">
        <f t="shared" si="142"/>
        <v>0.68353218232289836</v>
      </c>
      <c r="AA152" s="141">
        <f t="shared" si="142"/>
        <v>0.68353218232289836</v>
      </c>
      <c r="AB152" s="141">
        <f t="shared" si="142"/>
        <v>0.68353218232289836</v>
      </c>
      <c r="AC152" s="141">
        <f t="shared" si="142"/>
        <v>0.68353218232289836</v>
      </c>
      <c r="AD152" s="141">
        <f t="shared" si="142"/>
        <v>0.68353218232289836</v>
      </c>
      <c r="AE152" s="145">
        <f t="shared" si="142"/>
        <v>0.68353218232289836</v>
      </c>
      <c r="AF152" s="141">
        <f t="shared" si="142"/>
        <v>0.77466980663261809</v>
      </c>
      <c r="AG152" s="141">
        <f t="shared" si="142"/>
        <v>0.77466980663261809</v>
      </c>
      <c r="AH152" s="141">
        <f t="shared" si="142"/>
        <v>0.77466980663261809</v>
      </c>
      <c r="AI152" s="141">
        <f t="shared" si="142"/>
        <v>0.77466980663261809</v>
      </c>
      <c r="AJ152" s="141">
        <f t="shared" si="142"/>
        <v>0.77466980663261809</v>
      </c>
      <c r="AK152" s="141">
        <f t="shared" si="142"/>
        <v>0.77466980663261809</v>
      </c>
      <c r="AL152" s="141">
        <f t="shared" si="142"/>
        <v>0.77466980663261809</v>
      </c>
      <c r="AM152" s="141">
        <f t="shared" si="142"/>
        <v>0.77466980663261809</v>
      </c>
      <c r="AN152" s="141">
        <f t="shared" si="142"/>
        <v>0.77466980663261809</v>
      </c>
      <c r="AO152" s="141">
        <f t="shared" si="142"/>
        <v>0.77466980663261809</v>
      </c>
      <c r="AP152" s="141">
        <f t="shared" si="142"/>
        <v>0.77466980663261809</v>
      </c>
      <c r="AQ152" s="201">
        <f t="shared" si="142"/>
        <v>0.77466980663261809</v>
      </c>
      <c r="AT152" s="73"/>
      <c r="AU152" s="73"/>
    </row>
    <row r="153" spans="2:49" x14ac:dyDescent="0.25">
      <c r="B153" s="190" t="s">
        <v>108</v>
      </c>
      <c r="C153" s="159">
        <f>'Kainos 2026-2028'!J131</f>
        <v>166.78185248678719</v>
      </c>
      <c r="D153" s="141">
        <f>$C$153*D144</f>
        <v>76.715095262706612</v>
      </c>
      <c r="E153" s="141">
        <f t="shared" ref="E153:AQ153" si="143">$C$153*E144</f>
        <v>36.802511916568712</v>
      </c>
      <c r="F153" s="141">
        <f t="shared" si="143"/>
        <v>25.153984309482659</v>
      </c>
      <c r="G153" s="145">
        <f t="shared" si="143"/>
        <v>69.697498190858212</v>
      </c>
      <c r="H153" s="141">
        <f t="shared" si="143"/>
        <v>35.598356055376541</v>
      </c>
      <c r="I153" s="141">
        <f t="shared" si="143"/>
        <v>25.967387606446913</v>
      </c>
      <c r="J153" s="141">
        <f t="shared" si="143"/>
        <v>30.936666571934378</v>
      </c>
      <c r="K153" s="141">
        <f t="shared" si="143"/>
        <v>19.070547886808864</v>
      </c>
      <c r="L153" s="141">
        <f t="shared" si="143"/>
        <v>13.9850684503265</v>
      </c>
      <c r="M153" s="141">
        <f t="shared" si="143"/>
        <v>11.483340663024693</v>
      </c>
      <c r="N153" s="141">
        <f t="shared" si="143"/>
        <v>9.7471689199245297</v>
      </c>
      <c r="O153" s="141">
        <f t="shared" si="143"/>
        <v>10.594748826004924</v>
      </c>
      <c r="P153" s="141">
        <f t="shared" si="143"/>
        <v>9.6378037707528659</v>
      </c>
      <c r="Q153" s="141">
        <f t="shared" si="143"/>
        <v>19.918127792889255</v>
      </c>
      <c r="R153" s="141">
        <f t="shared" si="143"/>
        <v>26.657755110593037</v>
      </c>
      <c r="S153" s="145">
        <f t="shared" si="143"/>
        <v>36.869725914497131</v>
      </c>
      <c r="T153" s="141">
        <f t="shared" si="143"/>
        <v>2.2966681326049385</v>
      </c>
      <c r="U153" s="141">
        <f t="shared" si="143"/>
        <v>1.7908543176859937</v>
      </c>
      <c r="V153" s="141">
        <f t="shared" si="143"/>
        <v>1.9959139723828632</v>
      </c>
      <c r="W153" s="141">
        <f t="shared" si="143"/>
        <v>1.2713698591205911</v>
      </c>
      <c r="X153" s="141">
        <f t="shared" si="143"/>
        <v>0.90226248066622583</v>
      </c>
      <c r="Y153" s="141">
        <f t="shared" si="143"/>
        <v>0.76555604420164625</v>
      </c>
      <c r="Z153" s="141">
        <f t="shared" si="143"/>
        <v>0.62884960773706644</v>
      </c>
      <c r="AA153" s="141">
        <f t="shared" si="143"/>
        <v>0.68353218232289836</v>
      </c>
      <c r="AB153" s="141">
        <f t="shared" si="143"/>
        <v>0.64252025138352442</v>
      </c>
      <c r="AC153" s="141">
        <f t="shared" si="143"/>
        <v>1.2850405027670488</v>
      </c>
      <c r="AD153" s="141">
        <f t="shared" si="143"/>
        <v>1.7771836740395357</v>
      </c>
      <c r="AE153" s="145">
        <f t="shared" si="143"/>
        <v>2.3786919944836864</v>
      </c>
      <c r="AF153" s="141">
        <f t="shared" si="143"/>
        <v>2.2966681326049385</v>
      </c>
      <c r="AG153" s="141">
        <f t="shared" si="143"/>
        <v>1.7908543176859937</v>
      </c>
      <c r="AH153" s="141">
        <f t="shared" si="143"/>
        <v>1.9959139723828632</v>
      </c>
      <c r="AI153" s="141">
        <f t="shared" si="143"/>
        <v>1.2713698591205911</v>
      </c>
      <c r="AJ153" s="141">
        <f t="shared" si="143"/>
        <v>0.90226248066622583</v>
      </c>
      <c r="AK153" s="141">
        <f t="shared" si="143"/>
        <v>0.76555604420164625</v>
      </c>
      <c r="AL153" s="141">
        <f t="shared" si="143"/>
        <v>0.62884960773706644</v>
      </c>
      <c r="AM153" s="141">
        <f t="shared" si="143"/>
        <v>0.68353218232289836</v>
      </c>
      <c r="AN153" s="141">
        <f t="shared" si="143"/>
        <v>0.64252025138352442</v>
      </c>
      <c r="AO153" s="141">
        <f t="shared" si="143"/>
        <v>1.2850405027670488</v>
      </c>
      <c r="AP153" s="141">
        <f t="shared" si="143"/>
        <v>1.7771836740395357</v>
      </c>
      <c r="AQ153" s="201">
        <f t="shared" si="143"/>
        <v>2.3786919944836864</v>
      </c>
      <c r="AT153" s="73"/>
      <c r="AU153" s="73"/>
    </row>
    <row r="154" spans="2:49" x14ac:dyDescent="0.25">
      <c r="B154" s="190" t="s">
        <v>109</v>
      </c>
      <c r="C154" s="159">
        <f>'Kainos 2026-2028'!J132</f>
        <v>166.78185248678719</v>
      </c>
      <c r="D154" s="141">
        <f>$C$154*D143</f>
        <v>45.614380967014746</v>
      </c>
      <c r="E154" s="141">
        <f t="shared" ref="E154:AQ154" si="144">$C$154*E143</f>
        <v>45.614380967014746</v>
      </c>
      <c r="F154" s="141">
        <f t="shared" si="144"/>
        <v>46.115637900718212</v>
      </c>
      <c r="G154" s="145">
        <f t="shared" si="144"/>
        <v>46.115637900718212</v>
      </c>
      <c r="H154" s="141">
        <f t="shared" si="144"/>
        <v>17.657914710008207</v>
      </c>
      <c r="I154" s="141">
        <f t="shared" si="144"/>
        <v>16.51869440613671</v>
      </c>
      <c r="J154" s="141">
        <f t="shared" si="144"/>
        <v>17.657914710008207</v>
      </c>
      <c r="K154" s="141">
        <f t="shared" si="144"/>
        <v>17.088304558072455</v>
      </c>
      <c r="L154" s="141">
        <f t="shared" si="144"/>
        <v>17.657914710008207</v>
      </c>
      <c r="M154" s="141">
        <f t="shared" si="144"/>
        <v>17.088304558072455</v>
      </c>
      <c r="N154" s="141">
        <f t="shared" si="144"/>
        <v>17.657914710008207</v>
      </c>
      <c r="O154" s="141">
        <f t="shared" si="144"/>
        <v>17.657914710008207</v>
      </c>
      <c r="P154" s="141">
        <f t="shared" si="144"/>
        <v>17.088304558072455</v>
      </c>
      <c r="Q154" s="141">
        <f t="shared" si="144"/>
        <v>17.657914710008207</v>
      </c>
      <c r="R154" s="141">
        <f t="shared" si="144"/>
        <v>17.088304558072455</v>
      </c>
      <c r="S154" s="145">
        <f t="shared" si="144"/>
        <v>17.657914710008207</v>
      </c>
      <c r="T154" s="141">
        <f t="shared" si="144"/>
        <v>0.68353218232289836</v>
      </c>
      <c r="U154" s="141">
        <f t="shared" si="144"/>
        <v>0.68353218232289836</v>
      </c>
      <c r="V154" s="141">
        <f t="shared" si="144"/>
        <v>0.68353218232289836</v>
      </c>
      <c r="W154" s="141">
        <f t="shared" si="144"/>
        <v>0.68353218232289836</v>
      </c>
      <c r="X154" s="141">
        <f t="shared" si="144"/>
        <v>0.68353218232289836</v>
      </c>
      <c r="Y154" s="141">
        <f t="shared" si="144"/>
        <v>0.68353218232289836</v>
      </c>
      <c r="Z154" s="141">
        <f t="shared" si="144"/>
        <v>0.68353218232289836</v>
      </c>
      <c r="AA154" s="141">
        <f t="shared" si="144"/>
        <v>0.68353218232289836</v>
      </c>
      <c r="AB154" s="141">
        <f t="shared" si="144"/>
        <v>0.68353218232289836</v>
      </c>
      <c r="AC154" s="141">
        <f t="shared" si="144"/>
        <v>0.68353218232289836</v>
      </c>
      <c r="AD154" s="141">
        <f t="shared" si="144"/>
        <v>0.68353218232289836</v>
      </c>
      <c r="AE154" s="145">
        <f t="shared" si="144"/>
        <v>0.68353218232289836</v>
      </c>
      <c r="AF154" s="141">
        <f t="shared" si="144"/>
        <v>0.77466980663261809</v>
      </c>
      <c r="AG154" s="141">
        <f t="shared" si="144"/>
        <v>0.77466980663261809</v>
      </c>
      <c r="AH154" s="141">
        <f t="shared" si="144"/>
        <v>0.77466980663261809</v>
      </c>
      <c r="AI154" s="141">
        <f t="shared" si="144"/>
        <v>0.77466980663261809</v>
      </c>
      <c r="AJ154" s="141">
        <f t="shared" si="144"/>
        <v>0.77466980663261809</v>
      </c>
      <c r="AK154" s="141">
        <f t="shared" si="144"/>
        <v>0.77466980663261809</v>
      </c>
      <c r="AL154" s="141">
        <f t="shared" si="144"/>
        <v>0.77466980663261809</v>
      </c>
      <c r="AM154" s="141">
        <f t="shared" si="144"/>
        <v>0.77466980663261809</v>
      </c>
      <c r="AN154" s="141">
        <f t="shared" si="144"/>
        <v>0.77466980663261809</v>
      </c>
      <c r="AO154" s="141">
        <f t="shared" si="144"/>
        <v>0.77466980663261809</v>
      </c>
      <c r="AP154" s="141">
        <f t="shared" si="144"/>
        <v>0.77466980663261809</v>
      </c>
      <c r="AQ154" s="201">
        <f t="shared" si="144"/>
        <v>0.77466980663261809</v>
      </c>
      <c r="AT154" s="73"/>
      <c r="AU154" s="73"/>
    </row>
    <row r="155" spans="2:49" x14ac:dyDescent="0.25">
      <c r="B155" s="190" t="s">
        <v>110</v>
      </c>
      <c r="C155" s="159">
        <f>'Kainos 2026-2028'!J136</f>
        <v>166.78185248678719</v>
      </c>
      <c r="D155" s="150">
        <f>$C$155*D145</f>
        <v>76.715095262706612</v>
      </c>
      <c r="E155" s="141">
        <f t="shared" ref="E155:AQ155" si="145">$C$155*E145</f>
        <v>36.802511916568712</v>
      </c>
      <c r="F155" s="141">
        <f t="shared" si="145"/>
        <v>25.153984309482659</v>
      </c>
      <c r="G155" s="145">
        <f t="shared" si="145"/>
        <v>69.697498190858212</v>
      </c>
      <c r="H155" s="141">
        <f t="shared" si="145"/>
        <v>35.598356055376541</v>
      </c>
      <c r="I155" s="141">
        <f t="shared" si="145"/>
        <v>25.967387606446913</v>
      </c>
      <c r="J155" s="141">
        <f t="shared" si="145"/>
        <v>30.936666571934378</v>
      </c>
      <c r="K155" s="141">
        <f t="shared" si="145"/>
        <v>19.070547886808864</v>
      </c>
      <c r="L155" s="141">
        <f t="shared" si="145"/>
        <v>13.9850684503265</v>
      </c>
      <c r="M155" s="141">
        <f t="shared" si="145"/>
        <v>11.483340663024693</v>
      </c>
      <c r="N155" s="141">
        <f t="shared" si="145"/>
        <v>9.7471689199245297</v>
      </c>
      <c r="O155" s="141">
        <f t="shared" si="145"/>
        <v>10.594748826004924</v>
      </c>
      <c r="P155" s="141">
        <f t="shared" si="145"/>
        <v>9.6378037707528659</v>
      </c>
      <c r="Q155" s="141">
        <f t="shared" si="145"/>
        <v>19.918127792889255</v>
      </c>
      <c r="R155" s="141">
        <f t="shared" si="145"/>
        <v>26.657755110593037</v>
      </c>
      <c r="S155" s="145">
        <f t="shared" si="145"/>
        <v>36.869725914497131</v>
      </c>
      <c r="T155" s="141">
        <f t="shared" si="145"/>
        <v>2.2966681326049385</v>
      </c>
      <c r="U155" s="141">
        <f t="shared" si="145"/>
        <v>1.7908543176859937</v>
      </c>
      <c r="V155" s="141">
        <f t="shared" si="145"/>
        <v>1.9959139723828632</v>
      </c>
      <c r="W155" s="141">
        <f t="shared" si="145"/>
        <v>1.2713698591205911</v>
      </c>
      <c r="X155" s="141">
        <f t="shared" si="145"/>
        <v>0.90226248066622583</v>
      </c>
      <c r="Y155" s="141">
        <f t="shared" si="145"/>
        <v>0.76555604420164625</v>
      </c>
      <c r="Z155" s="141">
        <f t="shared" si="145"/>
        <v>0.62884960773706644</v>
      </c>
      <c r="AA155" s="141">
        <f t="shared" si="145"/>
        <v>0.68353218232289836</v>
      </c>
      <c r="AB155" s="141">
        <f t="shared" si="145"/>
        <v>0.64252025138352442</v>
      </c>
      <c r="AC155" s="141">
        <f t="shared" si="145"/>
        <v>1.2850405027670488</v>
      </c>
      <c r="AD155" s="141">
        <f t="shared" si="145"/>
        <v>1.7771836740395357</v>
      </c>
      <c r="AE155" s="145">
        <f t="shared" si="145"/>
        <v>2.3786919944836864</v>
      </c>
      <c r="AF155" s="141">
        <f t="shared" si="145"/>
        <v>2.2966681326049385</v>
      </c>
      <c r="AG155" s="141">
        <f t="shared" si="145"/>
        <v>1.7908543176859937</v>
      </c>
      <c r="AH155" s="141">
        <f t="shared" si="145"/>
        <v>1.9959139723828632</v>
      </c>
      <c r="AI155" s="141">
        <f t="shared" si="145"/>
        <v>1.2713698591205911</v>
      </c>
      <c r="AJ155" s="141">
        <f t="shared" si="145"/>
        <v>0.90226248066622583</v>
      </c>
      <c r="AK155" s="141">
        <f t="shared" si="145"/>
        <v>0.76555604420164625</v>
      </c>
      <c r="AL155" s="141">
        <f t="shared" si="145"/>
        <v>0.62884960773706644</v>
      </c>
      <c r="AM155" s="141">
        <f t="shared" si="145"/>
        <v>0.68353218232289836</v>
      </c>
      <c r="AN155" s="141">
        <f t="shared" si="145"/>
        <v>0.64252025138352442</v>
      </c>
      <c r="AO155" s="141">
        <f t="shared" si="145"/>
        <v>1.2850405027670488</v>
      </c>
      <c r="AP155" s="141">
        <f t="shared" si="145"/>
        <v>1.7771836740395357</v>
      </c>
      <c r="AQ155" s="201">
        <f t="shared" si="145"/>
        <v>2.3786919944836864</v>
      </c>
      <c r="AT155" s="73"/>
      <c r="AU155" s="73"/>
    </row>
    <row r="156" spans="2:49" ht="15.75" thickBot="1" x14ac:dyDescent="0.3">
      <c r="B156" s="192" t="s">
        <v>111</v>
      </c>
      <c r="C156" s="203">
        <f>'Kainos 2026-2028'!J137</f>
        <v>166.78185248678719</v>
      </c>
      <c r="D156" s="204">
        <f>$C$156*D145</f>
        <v>76.715095262706612</v>
      </c>
      <c r="E156" s="205">
        <f t="shared" ref="E156:AQ156" si="146">$C$156*E145</f>
        <v>36.802511916568712</v>
      </c>
      <c r="F156" s="205">
        <f t="shared" si="146"/>
        <v>25.153984309482659</v>
      </c>
      <c r="G156" s="206">
        <f t="shared" si="146"/>
        <v>69.697498190858212</v>
      </c>
      <c r="H156" s="205">
        <f t="shared" si="146"/>
        <v>35.598356055376541</v>
      </c>
      <c r="I156" s="205">
        <f t="shared" si="146"/>
        <v>25.967387606446913</v>
      </c>
      <c r="J156" s="205">
        <f t="shared" si="146"/>
        <v>30.936666571934378</v>
      </c>
      <c r="K156" s="205">
        <f t="shared" si="146"/>
        <v>19.070547886808864</v>
      </c>
      <c r="L156" s="205">
        <f t="shared" si="146"/>
        <v>13.9850684503265</v>
      </c>
      <c r="M156" s="205">
        <f t="shared" si="146"/>
        <v>11.483340663024693</v>
      </c>
      <c r="N156" s="205">
        <f t="shared" si="146"/>
        <v>9.7471689199245297</v>
      </c>
      <c r="O156" s="205">
        <f t="shared" si="146"/>
        <v>10.594748826004924</v>
      </c>
      <c r="P156" s="205">
        <f t="shared" si="146"/>
        <v>9.6378037707528659</v>
      </c>
      <c r="Q156" s="205">
        <f t="shared" si="146"/>
        <v>19.918127792889255</v>
      </c>
      <c r="R156" s="205">
        <f t="shared" si="146"/>
        <v>26.657755110593037</v>
      </c>
      <c r="S156" s="206">
        <f t="shared" si="146"/>
        <v>36.869725914497131</v>
      </c>
      <c r="T156" s="205">
        <f t="shared" si="146"/>
        <v>2.2966681326049385</v>
      </c>
      <c r="U156" s="205">
        <f t="shared" si="146"/>
        <v>1.7908543176859937</v>
      </c>
      <c r="V156" s="205">
        <f t="shared" si="146"/>
        <v>1.9959139723828632</v>
      </c>
      <c r="W156" s="205">
        <f t="shared" si="146"/>
        <v>1.2713698591205911</v>
      </c>
      <c r="X156" s="205">
        <f t="shared" si="146"/>
        <v>0.90226248066622583</v>
      </c>
      <c r="Y156" s="205">
        <f t="shared" si="146"/>
        <v>0.76555604420164625</v>
      </c>
      <c r="Z156" s="205">
        <f t="shared" si="146"/>
        <v>0.62884960773706644</v>
      </c>
      <c r="AA156" s="205">
        <f t="shared" si="146"/>
        <v>0.68353218232289836</v>
      </c>
      <c r="AB156" s="205">
        <f t="shared" si="146"/>
        <v>0.64252025138352442</v>
      </c>
      <c r="AC156" s="205">
        <f t="shared" si="146"/>
        <v>1.2850405027670488</v>
      </c>
      <c r="AD156" s="205">
        <f t="shared" si="146"/>
        <v>1.7771836740395357</v>
      </c>
      <c r="AE156" s="206">
        <f t="shared" si="146"/>
        <v>2.3786919944836864</v>
      </c>
      <c r="AF156" s="205">
        <f t="shared" si="146"/>
        <v>2.2966681326049385</v>
      </c>
      <c r="AG156" s="205">
        <f t="shared" si="146"/>
        <v>1.7908543176859937</v>
      </c>
      <c r="AH156" s="205">
        <f t="shared" si="146"/>
        <v>1.9959139723828632</v>
      </c>
      <c r="AI156" s="205">
        <f t="shared" si="146"/>
        <v>1.2713698591205911</v>
      </c>
      <c r="AJ156" s="205">
        <f t="shared" si="146"/>
        <v>0.90226248066622583</v>
      </c>
      <c r="AK156" s="205">
        <f t="shared" si="146"/>
        <v>0.76555604420164625</v>
      </c>
      <c r="AL156" s="205">
        <f t="shared" si="146"/>
        <v>0.62884960773706644</v>
      </c>
      <c r="AM156" s="205">
        <f t="shared" si="146"/>
        <v>0.68353218232289836</v>
      </c>
      <c r="AN156" s="205">
        <f t="shared" si="146"/>
        <v>0.64252025138352442</v>
      </c>
      <c r="AO156" s="205">
        <f t="shared" si="146"/>
        <v>1.2850405027670488</v>
      </c>
      <c r="AP156" s="205">
        <f t="shared" si="146"/>
        <v>1.7771836740395357</v>
      </c>
      <c r="AQ156" s="208">
        <f t="shared" si="146"/>
        <v>2.3786919944836864</v>
      </c>
      <c r="AT156" s="73"/>
      <c r="AU156" s="73"/>
    </row>
    <row r="157" spans="2:49" ht="15.75" thickBot="1" x14ac:dyDescent="0.3">
      <c r="AT157" s="73"/>
      <c r="AU157" s="73"/>
    </row>
    <row r="158" spans="2:49" ht="15.75" x14ac:dyDescent="0.25">
      <c r="B158" s="373" t="s">
        <v>122</v>
      </c>
      <c r="C158" s="374"/>
      <c r="D158" s="374"/>
      <c r="E158" s="374"/>
      <c r="F158" s="374"/>
      <c r="G158" s="374"/>
      <c r="H158" s="374"/>
      <c r="I158" s="374"/>
      <c r="J158" s="374"/>
      <c r="K158" s="374"/>
      <c r="L158" s="374"/>
      <c r="M158" s="374"/>
      <c r="N158" s="374"/>
      <c r="O158" s="374"/>
      <c r="P158" s="374"/>
      <c r="Q158" s="374"/>
      <c r="R158" s="374"/>
      <c r="S158" s="374"/>
      <c r="T158" s="374"/>
      <c r="U158" s="374"/>
      <c r="V158" s="374"/>
      <c r="W158" s="374"/>
      <c r="X158" s="374"/>
      <c r="Y158" s="374"/>
      <c r="Z158" s="374"/>
      <c r="AA158" s="374"/>
      <c r="AB158" s="374"/>
      <c r="AC158" s="374"/>
      <c r="AD158" s="374"/>
      <c r="AE158" s="374"/>
      <c r="AF158" s="374"/>
      <c r="AG158" s="374"/>
      <c r="AH158" s="374"/>
      <c r="AI158" s="374"/>
      <c r="AJ158" s="374"/>
      <c r="AK158" s="374"/>
      <c r="AL158" s="374"/>
      <c r="AM158" s="374"/>
      <c r="AN158" s="374"/>
      <c r="AO158" s="374"/>
      <c r="AP158" s="374"/>
      <c r="AQ158" s="375"/>
    </row>
    <row r="159" spans="2:49" ht="14.45" customHeight="1" x14ac:dyDescent="0.25">
      <c r="B159" s="190"/>
      <c r="C159" s="380" t="s">
        <v>123</v>
      </c>
      <c r="D159" s="376" t="s">
        <v>97</v>
      </c>
      <c r="E159" s="377"/>
      <c r="F159" s="377"/>
      <c r="G159" s="378"/>
      <c r="H159" s="376" t="s">
        <v>98</v>
      </c>
      <c r="I159" s="377"/>
      <c r="J159" s="377"/>
      <c r="K159" s="377"/>
      <c r="L159" s="377"/>
      <c r="M159" s="377"/>
      <c r="N159" s="377"/>
      <c r="O159" s="377"/>
      <c r="P159" s="377"/>
      <c r="Q159" s="377"/>
      <c r="R159" s="377"/>
      <c r="S159" s="378"/>
      <c r="T159" s="376" t="s">
        <v>99</v>
      </c>
      <c r="U159" s="377"/>
      <c r="V159" s="377"/>
      <c r="W159" s="377"/>
      <c r="X159" s="377"/>
      <c r="Y159" s="377"/>
      <c r="Z159" s="377"/>
      <c r="AA159" s="377"/>
      <c r="AB159" s="377"/>
      <c r="AC159" s="377"/>
      <c r="AD159" s="377"/>
      <c r="AE159" s="378"/>
      <c r="AF159" s="376" t="s">
        <v>100</v>
      </c>
      <c r="AG159" s="377"/>
      <c r="AH159" s="377"/>
      <c r="AI159" s="377"/>
      <c r="AJ159" s="377"/>
      <c r="AK159" s="377"/>
      <c r="AL159" s="377"/>
      <c r="AM159" s="377"/>
      <c r="AN159" s="377"/>
      <c r="AO159" s="377"/>
      <c r="AP159" s="377"/>
      <c r="AQ159" s="379"/>
      <c r="AT159" s="230"/>
      <c r="AU159" s="73"/>
      <c r="AW159" s="33"/>
    </row>
    <row r="160" spans="2:49" x14ac:dyDescent="0.25">
      <c r="B160" s="189"/>
      <c r="C160" s="381"/>
      <c r="D160" s="331" t="s">
        <v>9</v>
      </c>
      <c r="E160" s="332" t="s">
        <v>10</v>
      </c>
      <c r="F160" s="332" t="s">
        <v>11</v>
      </c>
      <c r="G160" s="333" t="s">
        <v>12</v>
      </c>
      <c r="H160" s="173" t="s">
        <v>35</v>
      </c>
      <c r="I160" s="165" t="s">
        <v>36</v>
      </c>
      <c r="J160" s="165" t="s">
        <v>37</v>
      </c>
      <c r="K160" s="165" t="s">
        <v>38</v>
      </c>
      <c r="L160" s="165" t="s">
        <v>39</v>
      </c>
      <c r="M160" s="165" t="s">
        <v>40</v>
      </c>
      <c r="N160" s="165" t="s">
        <v>41</v>
      </c>
      <c r="O160" s="165" t="s">
        <v>42</v>
      </c>
      <c r="P160" s="165" t="s">
        <v>43</v>
      </c>
      <c r="Q160" s="165" t="s">
        <v>44</v>
      </c>
      <c r="R160" s="165" t="s">
        <v>45</v>
      </c>
      <c r="S160" s="183" t="s">
        <v>46</v>
      </c>
      <c r="T160" s="173" t="s">
        <v>35</v>
      </c>
      <c r="U160" s="165" t="s">
        <v>36</v>
      </c>
      <c r="V160" s="165" t="s">
        <v>37</v>
      </c>
      <c r="W160" s="165" t="s">
        <v>38</v>
      </c>
      <c r="X160" s="165" t="s">
        <v>39</v>
      </c>
      <c r="Y160" s="165" t="s">
        <v>40</v>
      </c>
      <c r="Z160" s="165" t="s">
        <v>41</v>
      </c>
      <c r="AA160" s="165" t="s">
        <v>42</v>
      </c>
      <c r="AB160" s="165" t="s">
        <v>43</v>
      </c>
      <c r="AC160" s="165" t="s">
        <v>44</v>
      </c>
      <c r="AD160" s="165" t="s">
        <v>45</v>
      </c>
      <c r="AE160" s="183" t="s">
        <v>46</v>
      </c>
      <c r="AF160" s="174" t="s">
        <v>35</v>
      </c>
      <c r="AG160" s="165" t="s">
        <v>36</v>
      </c>
      <c r="AH160" s="165" t="s">
        <v>37</v>
      </c>
      <c r="AI160" s="165" t="s">
        <v>38</v>
      </c>
      <c r="AJ160" s="165" t="s">
        <v>39</v>
      </c>
      <c r="AK160" s="165" t="s">
        <v>40</v>
      </c>
      <c r="AL160" s="165" t="s">
        <v>41</v>
      </c>
      <c r="AM160" s="165" t="s">
        <v>42</v>
      </c>
      <c r="AN160" s="165" t="s">
        <v>43</v>
      </c>
      <c r="AO160" s="165" t="s">
        <v>44</v>
      </c>
      <c r="AP160" s="165" t="s">
        <v>45</v>
      </c>
      <c r="AQ160" s="334" t="s">
        <v>46</v>
      </c>
    </row>
    <row r="161" spans="2:43" x14ac:dyDescent="0.25">
      <c r="B161" s="190" t="s">
        <v>101</v>
      </c>
      <c r="C161" s="146">
        <f t="shared" ref="C161:AQ161" si="147">ROUND(C74,2)/ROUND(C57,2)-1</f>
        <v>0</v>
      </c>
      <c r="D161" s="151">
        <f t="shared" si="147"/>
        <v>8.5227272727272929E-3</v>
      </c>
      <c r="E161" s="143">
        <f>ROUND(E74,2)/ROUND(E57,2)-1</f>
        <v>-2.5542784163473664E-3</v>
      </c>
      <c r="F161" s="143">
        <f t="shared" si="147"/>
        <v>-2.5265285497726442E-3</v>
      </c>
      <c r="G161" s="146">
        <f t="shared" si="147"/>
        <v>-2.5265285497726442E-3</v>
      </c>
      <c r="H161" s="151">
        <f t="shared" si="147"/>
        <v>-2.6385224274406704E-3</v>
      </c>
      <c r="I161" s="143">
        <f t="shared" si="147"/>
        <v>3.2870708546384408E-2</v>
      </c>
      <c r="J161" s="143">
        <f t="shared" si="147"/>
        <v>-2.6385224274406704E-3</v>
      </c>
      <c r="K161" s="143">
        <f t="shared" si="147"/>
        <v>-2.7266530334014716E-3</v>
      </c>
      <c r="L161" s="143">
        <f t="shared" si="147"/>
        <v>-2.6385224274406704E-3</v>
      </c>
      <c r="M161" s="143">
        <f t="shared" si="147"/>
        <v>-2.7266530334014716E-3</v>
      </c>
      <c r="N161" s="143">
        <f t="shared" si="147"/>
        <v>-2.6385224274406704E-3</v>
      </c>
      <c r="O161" s="143">
        <f t="shared" si="147"/>
        <v>-2.6385224274406704E-3</v>
      </c>
      <c r="P161" s="143">
        <f t="shared" si="147"/>
        <v>-2.7266530334014716E-3</v>
      </c>
      <c r="Q161" s="143">
        <f t="shared" si="147"/>
        <v>-2.6385224274406704E-3</v>
      </c>
      <c r="R161" s="143">
        <f t="shared" si="147"/>
        <v>-2.7266530334014716E-3</v>
      </c>
      <c r="S161" s="146">
        <f t="shared" si="147"/>
        <v>-2.6385224274406704E-3</v>
      </c>
      <c r="T161" s="151">
        <f t="shared" si="147"/>
        <v>0</v>
      </c>
      <c r="U161" s="143">
        <f t="shared" si="147"/>
        <v>0</v>
      </c>
      <c r="V161" s="143">
        <f t="shared" si="147"/>
        <v>0</v>
      </c>
      <c r="W161" s="143">
        <f t="shared" si="147"/>
        <v>0</v>
      </c>
      <c r="X161" s="143">
        <f t="shared" si="147"/>
        <v>0</v>
      </c>
      <c r="Y161" s="143">
        <f t="shared" si="147"/>
        <v>0</v>
      </c>
      <c r="Z161" s="143">
        <f t="shared" si="147"/>
        <v>0</v>
      </c>
      <c r="AA161" s="143">
        <f t="shared" si="147"/>
        <v>0</v>
      </c>
      <c r="AB161" s="143">
        <f t="shared" si="147"/>
        <v>0</v>
      </c>
      <c r="AC161" s="143">
        <f t="shared" si="147"/>
        <v>0</v>
      </c>
      <c r="AD161" s="143">
        <f t="shared" si="147"/>
        <v>0</v>
      </c>
      <c r="AE161" s="146">
        <f t="shared" si="147"/>
        <v>0</v>
      </c>
      <c r="AF161" s="151">
        <f t="shared" si="147"/>
        <v>0.1186440677966103</v>
      </c>
      <c r="AG161" s="143">
        <f t="shared" si="147"/>
        <v>0.1186440677966103</v>
      </c>
      <c r="AH161" s="143">
        <f t="shared" si="147"/>
        <v>0.1186440677966103</v>
      </c>
      <c r="AI161" s="143">
        <f t="shared" si="147"/>
        <v>0.1186440677966103</v>
      </c>
      <c r="AJ161" s="143">
        <f t="shared" si="147"/>
        <v>0.1186440677966103</v>
      </c>
      <c r="AK161" s="143">
        <f t="shared" si="147"/>
        <v>0.1186440677966103</v>
      </c>
      <c r="AL161" s="143">
        <f t="shared" si="147"/>
        <v>0.1186440677966103</v>
      </c>
      <c r="AM161" s="143">
        <f t="shared" si="147"/>
        <v>0.1186440677966103</v>
      </c>
      <c r="AN161" s="143">
        <f t="shared" si="147"/>
        <v>0.1186440677966103</v>
      </c>
      <c r="AO161" s="143">
        <f t="shared" si="147"/>
        <v>0.1186440677966103</v>
      </c>
      <c r="AP161" s="143">
        <f t="shared" si="147"/>
        <v>0.1186440677966103</v>
      </c>
      <c r="AQ161" s="191">
        <f t="shared" si="147"/>
        <v>0.1186440677966103</v>
      </c>
    </row>
    <row r="162" spans="2:43" x14ac:dyDescent="0.25">
      <c r="B162" s="213" t="s">
        <v>102</v>
      </c>
      <c r="C162" s="146">
        <f t="shared" ref="C162:AQ162" si="148">ROUND(C76,2)/ROUND(C58,2)-1</f>
        <v>0</v>
      </c>
      <c r="D162" s="151">
        <f t="shared" si="148"/>
        <v>8.2051282051283092E-3</v>
      </c>
      <c r="E162" s="143">
        <f t="shared" si="148"/>
        <v>-3.0425963488842633E-3</v>
      </c>
      <c r="F162" s="143">
        <f t="shared" si="148"/>
        <v>-3.0090270812438424E-3</v>
      </c>
      <c r="G162" s="146">
        <f t="shared" si="148"/>
        <v>-3.0090270812438424E-3</v>
      </c>
      <c r="H162" s="151">
        <f t="shared" si="148"/>
        <v>-2.6178010471203939E-3</v>
      </c>
      <c r="I162" s="143">
        <f t="shared" si="148"/>
        <v>3.1884057971014457E-2</v>
      </c>
      <c r="J162" s="143">
        <f t="shared" si="148"/>
        <v>-2.6178010471203939E-3</v>
      </c>
      <c r="K162" s="143">
        <f t="shared" si="148"/>
        <v>-2.7100271002709064E-3</v>
      </c>
      <c r="L162" s="143">
        <f t="shared" si="148"/>
        <v>-2.6178010471203939E-3</v>
      </c>
      <c r="M162" s="143">
        <f t="shared" si="148"/>
        <v>-2.7100271002709064E-3</v>
      </c>
      <c r="N162" s="143">
        <f t="shared" si="148"/>
        <v>-2.6178010471203939E-3</v>
      </c>
      <c r="O162" s="143">
        <f t="shared" si="148"/>
        <v>-2.6178010471203939E-3</v>
      </c>
      <c r="P162" s="143">
        <f t="shared" si="148"/>
        <v>-2.7100271002709064E-3</v>
      </c>
      <c r="Q162" s="143">
        <f t="shared" si="148"/>
        <v>-2.6178010471203939E-3</v>
      </c>
      <c r="R162" s="143">
        <f t="shared" si="148"/>
        <v>-2.7100271002709064E-3</v>
      </c>
      <c r="S162" s="146">
        <f t="shared" si="148"/>
        <v>-2.6178010471203939E-3</v>
      </c>
      <c r="T162" s="151">
        <f t="shared" si="148"/>
        <v>0</v>
      </c>
      <c r="U162" s="143">
        <f t="shared" si="148"/>
        <v>0</v>
      </c>
      <c r="V162" s="143">
        <f t="shared" si="148"/>
        <v>0</v>
      </c>
      <c r="W162" s="143">
        <f t="shared" si="148"/>
        <v>0</v>
      </c>
      <c r="X162" s="143">
        <f t="shared" si="148"/>
        <v>0</v>
      </c>
      <c r="Y162" s="143">
        <f t="shared" si="148"/>
        <v>0</v>
      </c>
      <c r="Z162" s="143">
        <f t="shared" si="148"/>
        <v>0</v>
      </c>
      <c r="AA162" s="143">
        <f t="shared" si="148"/>
        <v>0</v>
      </c>
      <c r="AB162" s="143">
        <f t="shared" si="148"/>
        <v>0</v>
      </c>
      <c r="AC162" s="143">
        <f t="shared" si="148"/>
        <v>0</v>
      </c>
      <c r="AD162" s="143">
        <f t="shared" si="148"/>
        <v>0</v>
      </c>
      <c r="AE162" s="146">
        <f t="shared" si="148"/>
        <v>0</v>
      </c>
      <c r="AF162" s="151">
        <f t="shared" si="148"/>
        <v>0.13333333333333353</v>
      </c>
      <c r="AG162" s="143">
        <f t="shared" si="148"/>
        <v>0.13333333333333353</v>
      </c>
      <c r="AH162" s="143">
        <f t="shared" si="148"/>
        <v>0.13333333333333353</v>
      </c>
      <c r="AI162" s="143">
        <f t="shared" si="148"/>
        <v>0.13333333333333353</v>
      </c>
      <c r="AJ162" s="143">
        <f t="shared" si="148"/>
        <v>0.13333333333333353</v>
      </c>
      <c r="AK162" s="143">
        <f t="shared" si="148"/>
        <v>0.13333333333333353</v>
      </c>
      <c r="AL162" s="143">
        <f t="shared" si="148"/>
        <v>0.13333333333333353</v>
      </c>
      <c r="AM162" s="143">
        <f t="shared" si="148"/>
        <v>0.13333333333333353</v>
      </c>
      <c r="AN162" s="143">
        <f t="shared" si="148"/>
        <v>0.13333333333333353</v>
      </c>
      <c r="AO162" s="143">
        <f t="shared" si="148"/>
        <v>0.13333333333333353</v>
      </c>
      <c r="AP162" s="143">
        <f t="shared" si="148"/>
        <v>0.13333333333333353</v>
      </c>
      <c r="AQ162" s="191">
        <f t="shared" si="148"/>
        <v>0.13333333333333353</v>
      </c>
    </row>
    <row r="163" spans="2:43" x14ac:dyDescent="0.25">
      <c r="B163" s="190" t="s">
        <v>103</v>
      </c>
      <c r="C163" s="146">
        <f t="shared" ref="C163:AQ163" si="149">ROUND(C77,2)/ROUND(C59,2)-1</f>
        <v>0</v>
      </c>
      <c r="D163" s="151">
        <f t="shared" si="149"/>
        <v>8.5227272727272929E-3</v>
      </c>
      <c r="E163" s="143">
        <f t="shared" si="149"/>
        <v>-2.5542784163473664E-3</v>
      </c>
      <c r="F163" s="143">
        <f t="shared" si="149"/>
        <v>-2.5265285497726442E-3</v>
      </c>
      <c r="G163" s="146">
        <f t="shared" si="149"/>
        <v>-2.5265285497726442E-3</v>
      </c>
      <c r="H163" s="151">
        <f t="shared" si="149"/>
        <v>-2.6385224274406704E-3</v>
      </c>
      <c r="I163" s="143">
        <f t="shared" si="149"/>
        <v>3.2870708546384408E-2</v>
      </c>
      <c r="J163" s="143">
        <f t="shared" si="149"/>
        <v>-2.6385224274406704E-3</v>
      </c>
      <c r="K163" s="143">
        <f t="shared" si="149"/>
        <v>-2.7266530334014716E-3</v>
      </c>
      <c r="L163" s="143">
        <f t="shared" si="149"/>
        <v>-2.6385224274406704E-3</v>
      </c>
      <c r="M163" s="143">
        <f t="shared" si="149"/>
        <v>-2.7266530334014716E-3</v>
      </c>
      <c r="N163" s="143">
        <f t="shared" si="149"/>
        <v>-2.6385224274406704E-3</v>
      </c>
      <c r="O163" s="143">
        <f t="shared" si="149"/>
        <v>-2.6385224274406704E-3</v>
      </c>
      <c r="P163" s="143">
        <f t="shared" si="149"/>
        <v>-2.7266530334014716E-3</v>
      </c>
      <c r="Q163" s="143">
        <f t="shared" si="149"/>
        <v>-2.6385224274406704E-3</v>
      </c>
      <c r="R163" s="143">
        <f t="shared" si="149"/>
        <v>-2.7266530334014716E-3</v>
      </c>
      <c r="S163" s="146">
        <f t="shared" si="149"/>
        <v>-2.6385224274406704E-3</v>
      </c>
      <c r="T163" s="151">
        <f t="shared" si="149"/>
        <v>0</v>
      </c>
      <c r="U163" s="143">
        <f t="shared" si="149"/>
        <v>0</v>
      </c>
      <c r="V163" s="143">
        <f t="shared" si="149"/>
        <v>0</v>
      </c>
      <c r="W163" s="143">
        <f t="shared" si="149"/>
        <v>0</v>
      </c>
      <c r="X163" s="143">
        <f t="shared" si="149"/>
        <v>0</v>
      </c>
      <c r="Y163" s="143">
        <f t="shared" si="149"/>
        <v>0</v>
      </c>
      <c r="Z163" s="143">
        <f t="shared" si="149"/>
        <v>0</v>
      </c>
      <c r="AA163" s="143">
        <f t="shared" si="149"/>
        <v>0</v>
      </c>
      <c r="AB163" s="143">
        <f t="shared" si="149"/>
        <v>0</v>
      </c>
      <c r="AC163" s="143">
        <f t="shared" si="149"/>
        <v>0</v>
      </c>
      <c r="AD163" s="143">
        <f t="shared" si="149"/>
        <v>0</v>
      </c>
      <c r="AE163" s="146">
        <f t="shared" si="149"/>
        <v>0</v>
      </c>
      <c r="AF163" s="151">
        <f t="shared" si="149"/>
        <v>0.1186440677966103</v>
      </c>
      <c r="AG163" s="143">
        <f t="shared" si="149"/>
        <v>0.1186440677966103</v>
      </c>
      <c r="AH163" s="143">
        <f t="shared" si="149"/>
        <v>0.1186440677966103</v>
      </c>
      <c r="AI163" s="143">
        <f t="shared" si="149"/>
        <v>0.1186440677966103</v>
      </c>
      <c r="AJ163" s="143">
        <f t="shared" si="149"/>
        <v>0.1186440677966103</v>
      </c>
      <c r="AK163" s="143">
        <f t="shared" si="149"/>
        <v>0.1186440677966103</v>
      </c>
      <c r="AL163" s="143">
        <f t="shared" si="149"/>
        <v>0.1186440677966103</v>
      </c>
      <c r="AM163" s="143">
        <f t="shared" si="149"/>
        <v>0.1186440677966103</v>
      </c>
      <c r="AN163" s="143">
        <f t="shared" si="149"/>
        <v>0.1186440677966103</v>
      </c>
      <c r="AO163" s="143">
        <f t="shared" si="149"/>
        <v>0.1186440677966103</v>
      </c>
      <c r="AP163" s="143">
        <f t="shared" si="149"/>
        <v>0.1186440677966103</v>
      </c>
      <c r="AQ163" s="191">
        <f t="shared" si="149"/>
        <v>0.1186440677966103</v>
      </c>
    </row>
    <row r="164" spans="2:43" x14ac:dyDescent="0.25">
      <c r="B164" s="190" t="s">
        <v>104</v>
      </c>
      <c r="C164" s="146">
        <f t="shared" ref="C164:AQ164" si="150">ROUND(C78,2)/ROUND(C60,2)-1</f>
        <v>0</v>
      </c>
      <c r="D164" s="151">
        <f t="shared" si="150"/>
        <v>8.5227272727272929E-3</v>
      </c>
      <c r="E164" s="143">
        <f t="shared" si="150"/>
        <v>-2.5542784163473664E-3</v>
      </c>
      <c r="F164" s="143">
        <f t="shared" si="150"/>
        <v>-2.5265285497726442E-3</v>
      </c>
      <c r="G164" s="146">
        <f t="shared" si="150"/>
        <v>-2.5265285497726442E-3</v>
      </c>
      <c r="H164" s="151">
        <f t="shared" si="150"/>
        <v>-2.6385224274406704E-3</v>
      </c>
      <c r="I164" s="143">
        <f t="shared" si="150"/>
        <v>3.2870708546384408E-2</v>
      </c>
      <c r="J164" s="143">
        <f t="shared" si="150"/>
        <v>-2.6385224274406704E-3</v>
      </c>
      <c r="K164" s="143">
        <f t="shared" si="150"/>
        <v>-2.7266530334014716E-3</v>
      </c>
      <c r="L164" s="143">
        <f t="shared" si="150"/>
        <v>-2.6385224274406704E-3</v>
      </c>
      <c r="M164" s="143">
        <f t="shared" si="150"/>
        <v>-2.7266530334014716E-3</v>
      </c>
      <c r="N164" s="143">
        <f t="shared" si="150"/>
        <v>-2.6385224274406704E-3</v>
      </c>
      <c r="O164" s="143">
        <f t="shared" si="150"/>
        <v>-2.6385224274406704E-3</v>
      </c>
      <c r="P164" s="143">
        <f t="shared" si="150"/>
        <v>-2.7266530334014716E-3</v>
      </c>
      <c r="Q164" s="143">
        <f t="shared" si="150"/>
        <v>-2.6385224274406704E-3</v>
      </c>
      <c r="R164" s="143">
        <f t="shared" si="150"/>
        <v>-2.7266530334014716E-3</v>
      </c>
      <c r="S164" s="146">
        <f t="shared" si="150"/>
        <v>-2.6385224274406704E-3</v>
      </c>
      <c r="T164" s="151">
        <f t="shared" si="150"/>
        <v>0</v>
      </c>
      <c r="U164" s="143">
        <f t="shared" si="150"/>
        <v>0</v>
      </c>
      <c r="V164" s="143">
        <f t="shared" si="150"/>
        <v>0</v>
      </c>
      <c r="W164" s="143">
        <f t="shared" si="150"/>
        <v>0</v>
      </c>
      <c r="X164" s="143">
        <f t="shared" si="150"/>
        <v>0</v>
      </c>
      <c r="Y164" s="143">
        <f t="shared" si="150"/>
        <v>0</v>
      </c>
      <c r="Z164" s="143">
        <f t="shared" si="150"/>
        <v>0</v>
      </c>
      <c r="AA164" s="143">
        <f t="shared" si="150"/>
        <v>0</v>
      </c>
      <c r="AB164" s="143">
        <f t="shared" si="150"/>
        <v>0</v>
      </c>
      <c r="AC164" s="143">
        <f t="shared" si="150"/>
        <v>0</v>
      </c>
      <c r="AD164" s="143">
        <f t="shared" si="150"/>
        <v>0</v>
      </c>
      <c r="AE164" s="146">
        <f t="shared" si="150"/>
        <v>0</v>
      </c>
      <c r="AF164" s="151">
        <f t="shared" si="150"/>
        <v>0.1186440677966103</v>
      </c>
      <c r="AG164" s="143">
        <f t="shared" si="150"/>
        <v>0.1186440677966103</v>
      </c>
      <c r="AH164" s="143">
        <f t="shared" si="150"/>
        <v>0.1186440677966103</v>
      </c>
      <c r="AI164" s="143">
        <f t="shared" si="150"/>
        <v>0.1186440677966103</v>
      </c>
      <c r="AJ164" s="143">
        <f t="shared" si="150"/>
        <v>0.1186440677966103</v>
      </c>
      <c r="AK164" s="143">
        <f t="shared" si="150"/>
        <v>0.1186440677966103</v>
      </c>
      <c r="AL164" s="143">
        <f t="shared" si="150"/>
        <v>0.1186440677966103</v>
      </c>
      <c r="AM164" s="143">
        <f t="shared" si="150"/>
        <v>0.1186440677966103</v>
      </c>
      <c r="AN164" s="143">
        <f t="shared" si="150"/>
        <v>0.1186440677966103</v>
      </c>
      <c r="AO164" s="143">
        <f t="shared" si="150"/>
        <v>0.1186440677966103</v>
      </c>
      <c r="AP164" s="143">
        <f t="shared" si="150"/>
        <v>0.1186440677966103</v>
      </c>
      <c r="AQ164" s="191">
        <f t="shared" si="150"/>
        <v>0.1186440677966103</v>
      </c>
    </row>
    <row r="165" spans="2:43" x14ac:dyDescent="0.25">
      <c r="B165" s="190" t="s">
        <v>105</v>
      </c>
      <c r="C165" s="146">
        <f t="shared" ref="C165:AQ165" si="151">ROUND(C79,2)/ROUND(C61,2)-1</f>
        <v>0</v>
      </c>
      <c r="D165" s="151">
        <f t="shared" si="151"/>
        <v>8.5227272727272929E-3</v>
      </c>
      <c r="E165" s="143">
        <f t="shared" si="151"/>
        <v>-2.5542784163473664E-3</v>
      </c>
      <c r="F165" s="143">
        <f t="shared" si="151"/>
        <v>-2.5265285497726442E-3</v>
      </c>
      <c r="G165" s="146">
        <f t="shared" si="151"/>
        <v>-2.5265285497726442E-3</v>
      </c>
      <c r="H165" s="151">
        <f t="shared" si="151"/>
        <v>-2.6385224274406704E-3</v>
      </c>
      <c r="I165" s="143">
        <f t="shared" si="151"/>
        <v>3.2870708546384408E-2</v>
      </c>
      <c r="J165" s="143">
        <f t="shared" si="151"/>
        <v>-2.6385224274406704E-3</v>
      </c>
      <c r="K165" s="143">
        <f t="shared" si="151"/>
        <v>-2.7266530334014716E-3</v>
      </c>
      <c r="L165" s="143">
        <f t="shared" si="151"/>
        <v>-2.6385224274406704E-3</v>
      </c>
      <c r="M165" s="143">
        <f t="shared" si="151"/>
        <v>-2.7266530334014716E-3</v>
      </c>
      <c r="N165" s="143">
        <f t="shared" si="151"/>
        <v>-2.6385224274406704E-3</v>
      </c>
      <c r="O165" s="143">
        <f t="shared" si="151"/>
        <v>-2.6385224274406704E-3</v>
      </c>
      <c r="P165" s="143">
        <f t="shared" si="151"/>
        <v>-2.7266530334014716E-3</v>
      </c>
      <c r="Q165" s="143">
        <f t="shared" si="151"/>
        <v>-2.6385224274406704E-3</v>
      </c>
      <c r="R165" s="143">
        <f t="shared" si="151"/>
        <v>-2.7266530334014716E-3</v>
      </c>
      <c r="S165" s="146">
        <f t="shared" si="151"/>
        <v>-2.6385224274406704E-3</v>
      </c>
      <c r="T165" s="151">
        <f t="shared" si="151"/>
        <v>0</v>
      </c>
      <c r="U165" s="143">
        <f t="shared" si="151"/>
        <v>0</v>
      </c>
      <c r="V165" s="143">
        <f t="shared" si="151"/>
        <v>0</v>
      </c>
      <c r="W165" s="143">
        <f t="shared" si="151"/>
        <v>0</v>
      </c>
      <c r="X165" s="143">
        <f t="shared" si="151"/>
        <v>0</v>
      </c>
      <c r="Y165" s="143">
        <f t="shared" si="151"/>
        <v>0</v>
      </c>
      <c r="Z165" s="143">
        <f t="shared" si="151"/>
        <v>0</v>
      </c>
      <c r="AA165" s="143">
        <f t="shared" si="151"/>
        <v>0</v>
      </c>
      <c r="AB165" s="143">
        <f t="shared" si="151"/>
        <v>0</v>
      </c>
      <c r="AC165" s="143">
        <f t="shared" si="151"/>
        <v>0</v>
      </c>
      <c r="AD165" s="143">
        <f t="shared" si="151"/>
        <v>0</v>
      </c>
      <c r="AE165" s="146">
        <f t="shared" si="151"/>
        <v>0</v>
      </c>
      <c r="AF165" s="151">
        <f t="shared" si="151"/>
        <v>0.1186440677966103</v>
      </c>
      <c r="AG165" s="143">
        <f t="shared" si="151"/>
        <v>0.1186440677966103</v>
      </c>
      <c r="AH165" s="143">
        <f t="shared" si="151"/>
        <v>0.1186440677966103</v>
      </c>
      <c r="AI165" s="143">
        <f t="shared" si="151"/>
        <v>0.1186440677966103</v>
      </c>
      <c r="AJ165" s="143">
        <f t="shared" si="151"/>
        <v>0.1186440677966103</v>
      </c>
      <c r="AK165" s="143">
        <f t="shared" si="151"/>
        <v>0.1186440677966103</v>
      </c>
      <c r="AL165" s="143">
        <f t="shared" si="151"/>
        <v>0.1186440677966103</v>
      </c>
      <c r="AM165" s="143">
        <f t="shared" si="151"/>
        <v>0.1186440677966103</v>
      </c>
      <c r="AN165" s="143">
        <f t="shared" si="151"/>
        <v>0.1186440677966103</v>
      </c>
      <c r="AO165" s="143">
        <f t="shared" si="151"/>
        <v>0.1186440677966103</v>
      </c>
      <c r="AP165" s="143">
        <f t="shared" si="151"/>
        <v>0.1186440677966103</v>
      </c>
      <c r="AQ165" s="191">
        <f t="shared" si="151"/>
        <v>0.1186440677966103</v>
      </c>
    </row>
    <row r="166" spans="2:43" x14ac:dyDescent="0.25">
      <c r="B166" s="190" t="s">
        <v>106</v>
      </c>
      <c r="C166" s="146">
        <f t="shared" ref="C166:AQ166" si="152">ROUND(C80,2)/ROUND(C62,2)-1</f>
        <v>-6.3346476941539498E-2</v>
      </c>
      <c r="D166" s="151">
        <f t="shared" si="152"/>
        <v>-5.5309734513274367E-2</v>
      </c>
      <c r="E166" s="143">
        <f t="shared" si="152"/>
        <v>-6.5645514223194645E-2</v>
      </c>
      <c r="F166" s="143">
        <f t="shared" si="152"/>
        <v>-6.6151468315301387E-2</v>
      </c>
      <c r="G166" s="146">
        <f t="shared" si="152"/>
        <v>-6.6151468315301387E-2</v>
      </c>
      <c r="H166" s="151">
        <f t="shared" si="152"/>
        <v>-6.6182405165456037E-2</v>
      </c>
      <c r="I166" s="143">
        <f t="shared" si="152"/>
        <v>-3.3065236818587973E-2</v>
      </c>
      <c r="J166" s="143">
        <f t="shared" si="152"/>
        <v>-6.6182405165456037E-2</v>
      </c>
      <c r="K166" s="143">
        <f t="shared" si="152"/>
        <v>-6.5888240200166925E-2</v>
      </c>
      <c r="L166" s="143">
        <f t="shared" si="152"/>
        <v>-6.6182405165456037E-2</v>
      </c>
      <c r="M166" s="143">
        <f t="shared" si="152"/>
        <v>-6.5888240200166925E-2</v>
      </c>
      <c r="N166" s="143">
        <f t="shared" si="152"/>
        <v>-6.6182405165456037E-2</v>
      </c>
      <c r="O166" s="143">
        <f t="shared" si="152"/>
        <v>-6.6182405165456037E-2</v>
      </c>
      <c r="P166" s="143">
        <f t="shared" si="152"/>
        <v>-6.5888240200166925E-2</v>
      </c>
      <c r="Q166" s="143">
        <f t="shared" si="152"/>
        <v>-6.6182405165456037E-2</v>
      </c>
      <c r="R166" s="143">
        <f t="shared" si="152"/>
        <v>-6.5888240200166925E-2</v>
      </c>
      <c r="S166" s="146">
        <f t="shared" si="152"/>
        <v>-6.6182405165456037E-2</v>
      </c>
      <c r="T166" s="151">
        <f t="shared" si="152"/>
        <v>-6.2499999999999889E-2</v>
      </c>
      <c r="U166" s="143">
        <f t="shared" si="152"/>
        <v>-6.2499999999999889E-2</v>
      </c>
      <c r="V166" s="143">
        <f t="shared" si="152"/>
        <v>-6.2499999999999889E-2</v>
      </c>
      <c r="W166" s="143">
        <f t="shared" si="152"/>
        <v>-6.2499999999999889E-2</v>
      </c>
      <c r="X166" s="143">
        <f t="shared" si="152"/>
        <v>-6.2499999999999889E-2</v>
      </c>
      <c r="Y166" s="143">
        <f t="shared" si="152"/>
        <v>-6.2499999999999889E-2</v>
      </c>
      <c r="Z166" s="143">
        <f t="shared" si="152"/>
        <v>-6.2499999999999889E-2</v>
      </c>
      <c r="AA166" s="143">
        <f t="shared" si="152"/>
        <v>-6.2499999999999889E-2</v>
      </c>
      <c r="AB166" s="143">
        <f t="shared" si="152"/>
        <v>-6.2499999999999889E-2</v>
      </c>
      <c r="AC166" s="143">
        <f t="shared" si="152"/>
        <v>-6.2499999999999889E-2</v>
      </c>
      <c r="AD166" s="143">
        <f t="shared" si="152"/>
        <v>-6.2499999999999889E-2</v>
      </c>
      <c r="AE166" s="146">
        <f t="shared" si="152"/>
        <v>-6.2499999999999889E-2</v>
      </c>
      <c r="AF166" s="151">
        <f t="shared" si="152"/>
        <v>6.25E-2</v>
      </c>
      <c r="AG166" s="143">
        <f t="shared" si="152"/>
        <v>6.25E-2</v>
      </c>
      <c r="AH166" s="143">
        <f t="shared" si="152"/>
        <v>6.25E-2</v>
      </c>
      <c r="AI166" s="143">
        <f t="shared" si="152"/>
        <v>6.25E-2</v>
      </c>
      <c r="AJ166" s="143">
        <f t="shared" si="152"/>
        <v>6.25E-2</v>
      </c>
      <c r="AK166" s="143">
        <f t="shared" si="152"/>
        <v>6.25E-2</v>
      </c>
      <c r="AL166" s="143">
        <f t="shared" si="152"/>
        <v>6.25E-2</v>
      </c>
      <c r="AM166" s="143">
        <f t="shared" si="152"/>
        <v>6.25E-2</v>
      </c>
      <c r="AN166" s="143">
        <f t="shared" si="152"/>
        <v>6.25E-2</v>
      </c>
      <c r="AO166" s="143">
        <f t="shared" si="152"/>
        <v>6.25E-2</v>
      </c>
      <c r="AP166" s="143">
        <f t="shared" si="152"/>
        <v>6.25E-2</v>
      </c>
      <c r="AQ166" s="191">
        <f t="shared" si="152"/>
        <v>6.25E-2</v>
      </c>
    </row>
    <row r="167" spans="2:43" x14ac:dyDescent="0.25">
      <c r="B167" s="190" t="s">
        <v>107</v>
      </c>
      <c r="C167" s="146">
        <f t="shared" ref="C167:AQ167" si="153">ROUND(C81,2)/ROUND(C63,2)-1</f>
        <v>-0.13169164882226991</v>
      </c>
      <c r="D167" s="151">
        <f t="shared" si="153"/>
        <v>-0.14168937329700282</v>
      </c>
      <c r="E167" s="143">
        <f t="shared" si="153"/>
        <v>-5.2631578947368474E-2</v>
      </c>
      <c r="F167" s="143">
        <f t="shared" si="153"/>
        <v>-0.13453536754507622</v>
      </c>
      <c r="G167" s="146">
        <f t="shared" si="153"/>
        <v>-0.15365111561866118</v>
      </c>
      <c r="H167" s="151">
        <f t="shared" si="153"/>
        <v>-0.17728531855955676</v>
      </c>
      <c r="I167" s="143">
        <f t="shared" si="153"/>
        <v>-0.11005434782608703</v>
      </c>
      <c r="J167" s="143">
        <f t="shared" si="153"/>
        <v>-0.1466030989272944</v>
      </c>
      <c r="K167" s="143">
        <f t="shared" si="153"/>
        <v>-4.7210300429184504E-2</v>
      </c>
      <c r="L167" s="143">
        <f t="shared" si="153"/>
        <v>-5.5096418732782926E-3</v>
      </c>
      <c r="M167" s="143">
        <f t="shared" si="153"/>
        <v>-6.3829787234042423E-2</v>
      </c>
      <c r="N167" s="143">
        <f t="shared" si="153"/>
        <v>-4.3103448275861878E-2</v>
      </c>
      <c r="O167" s="143">
        <f t="shared" si="153"/>
        <v>-9.8540145985401506E-2</v>
      </c>
      <c r="P167" s="143">
        <f t="shared" si="153"/>
        <v>-0.21848739495798319</v>
      </c>
      <c r="Q167" s="143">
        <f t="shared" si="153"/>
        <v>-0.20722135007849296</v>
      </c>
      <c r="R167" s="143">
        <f t="shared" si="153"/>
        <v>-0.17889317889317891</v>
      </c>
      <c r="S167" s="146">
        <f t="shared" si="153"/>
        <v>-0.10189075630252087</v>
      </c>
      <c r="T167" s="151">
        <f t="shared" si="153"/>
        <v>-0.17142857142857149</v>
      </c>
      <c r="U167" s="143">
        <f t="shared" si="153"/>
        <v>-0.15094339622641506</v>
      </c>
      <c r="V167" s="143">
        <f t="shared" si="153"/>
        <v>-0.14814814814814814</v>
      </c>
      <c r="W167" s="143">
        <f t="shared" si="153"/>
        <v>-3.2258064516129115E-2</v>
      </c>
      <c r="X167" s="143">
        <f t="shared" si="153"/>
        <v>0</v>
      </c>
      <c r="Y167" s="143">
        <f t="shared" si="153"/>
        <v>-5.2631578947368474E-2</v>
      </c>
      <c r="Z167" s="143">
        <f t="shared" si="153"/>
        <v>-6.6666666666666541E-2</v>
      </c>
      <c r="AA167" s="143">
        <f t="shared" si="153"/>
        <v>-0.11111111111111105</v>
      </c>
      <c r="AB167" s="143">
        <f t="shared" si="153"/>
        <v>-0.20833333333333326</v>
      </c>
      <c r="AC167" s="143">
        <f t="shared" si="153"/>
        <v>-0.19512195121951215</v>
      </c>
      <c r="AD167" s="143">
        <f t="shared" si="153"/>
        <v>-0.17307692307692313</v>
      </c>
      <c r="AE167" s="146">
        <f t="shared" si="153"/>
        <v>-9.8360655737704805E-2</v>
      </c>
      <c r="AF167" s="151">
        <f t="shared" si="153"/>
        <v>-0.17142857142857149</v>
      </c>
      <c r="AG167" s="143">
        <f t="shared" si="153"/>
        <v>-0.15094339622641506</v>
      </c>
      <c r="AH167" s="143">
        <f t="shared" si="153"/>
        <v>-0.14814814814814814</v>
      </c>
      <c r="AI167" s="143">
        <f t="shared" si="153"/>
        <v>-3.2258064516129115E-2</v>
      </c>
      <c r="AJ167" s="143">
        <f t="shared" si="153"/>
        <v>0</v>
      </c>
      <c r="AK167" s="143">
        <f t="shared" si="153"/>
        <v>-5.2631578947368474E-2</v>
      </c>
      <c r="AL167" s="143">
        <f t="shared" si="153"/>
        <v>-6.6666666666666541E-2</v>
      </c>
      <c r="AM167" s="143">
        <f t="shared" si="153"/>
        <v>-0.11111111111111105</v>
      </c>
      <c r="AN167" s="143">
        <f t="shared" si="153"/>
        <v>-0.20833333333333326</v>
      </c>
      <c r="AO167" s="143">
        <f t="shared" si="153"/>
        <v>-0.19512195121951215</v>
      </c>
      <c r="AP167" s="143">
        <f t="shared" si="153"/>
        <v>-0.17307692307692313</v>
      </c>
      <c r="AQ167" s="191">
        <f t="shared" si="153"/>
        <v>-9.8360655737704805E-2</v>
      </c>
    </row>
    <row r="168" spans="2:43" x14ac:dyDescent="0.25">
      <c r="B168" s="190" t="s">
        <v>108</v>
      </c>
      <c r="C168" s="146">
        <f t="shared" ref="C168:AQ168" si="154">ROUND(C82,2)/ROUND(C64,2)-1</f>
        <v>-6.3346476941539498E-2</v>
      </c>
      <c r="D168" s="151">
        <f t="shared" si="154"/>
        <v>-5.5309734513274367E-2</v>
      </c>
      <c r="E168" s="143">
        <f t="shared" si="154"/>
        <v>-6.5645514223194645E-2</v>
      </c>
      <c r="F168" s="143">
        <f t="shared" si="154"/>
        <v>-6.6151468315301387E-2</v>
      </c>
      <c r="G168" s="146">
        <f t="shared" si="154"/>
        <v>-6.6151468315301387E-2</v>
      </c>
      <c r="H168" s="151">
        <f t="shared" si="154"/>
        <v>-6.6182405165456037E-2</v>
      </c>
      <c r="I168" s="143">
        <f t="shared" si="154"/>
        <v>-3.3065236818587973E-2</v>
      </c>
      <c r="J168" s="143">
        <f t="shared" si="154"/>
        <v>-6.6182405165456037E-2</v>
      </c>
      <c r="K168" s="143">
        <f t="shared" si="154"/>
        <v>-6.5888240200166925E-2</v>
      </c>
      <c r="L168" s="143">
        <f t="shared" si="154"/>
        <v>-6.6182405165456037E-2</v>
      </c>
      <c r="M168" s="143">
        <f t="shared" si="154"/>
        <v>-6.5888240200166925E-2</v>
      </c>
      <c r="N168" s="143">
        <f t="shared" si="154"/>
        <v>-6.6182405165456037E-2</v>
      </c>
      <c r="O168" s="143">
        <f t="shared" si="154"/>
        <v>-6.6182405165456037E-2</v>
      </c>
      <c r="P168" s="143">
        <f t="shared" si="154"/>
        <v>-6.5888240200166925E-2</v>
      </c>
      <c r="Q168" s="143">
        <f t="shared" si="154"/>
        <v>-6.6182405165456037E-2</v>
      </c>
      <c r="R168" s="143">
        <f t="shared" si="154"/>
        <v>-6.5888240200166925E-2</v>
      </c>
      <c r="S168" s="146">
        <f t="shared" si="154"/>
        <v>-6.6182405165456037E-2</v>
      </c>
      <c r="T168" s="151">
        <f t="shared" si="154"/>
        <v>-6.2499999999999889E-2</v>
      </c>
      <c r="U168" s="143">
        <f t="shared" si="154"/>
        <v>-6.2499999999999889E-2</v>
      </c>
      <c r="V168" s="143">
        <f t="shared" si="154"/>
        <v>-6.2499999999999889E-2</v>
      </c>
      <c r="W168" s="143">
        <f t="shared" si="154"/>
        <v>-6.2499999999999889E-2</v>
      </c>
      <c r="X168" s="143">
        <f t="shared" si="154"/>
        <v>-6.2499999999999889E-2</v>
      </c>
      <c r="Y168" s="143">
        <f t="shared" si="154"/>
        <v>-6.2499999999999889E-2</v>
      </c>
      <c r="Z168" s="143">
        <f t="shared" si="154"/>
        <v>-6.2499999999999889E-2</v>
      </c>
      <c r="AA168" s="143">
        <f t="shared" si="154"/>
        <v>-6.2499999999999889E-2</v>
      </c>
      <c r="AB168" s="143">
        <f t="shared" si="154"/>
        <v>-6.2499999999999889E-2</v>
      </c>
      <c r="AC168" s="143">
        <f t="shared" si="154"/>
        <v>-6.2499999999999889E-2</v>
      </c>
      <c r="AD168" s="143">
        <f t="shared" si="154"/>
        <v>-6.2499999999999889E-2</v>
      </c>
      <c r="AE168" s="146">
        <f t="shared" si="154"/>
        <v>-6.2499999999999889E-2</v>
      </c>
      <c r="AF168" s="151">
        <f t="shared" si="154"/>
        <v>6.25E-2</v>
      </c>
      <c r="AG168" s="143">
        <f t="shared" si="154"/>
        <v>6.25E-2</v>
      </c>
      <c r="AH168" s="143">
        <f t="shared" si="154"/>
        <v>6.25E-2</v>
      </c>
      <c r="AI168" s="143">
        <f t="shared" si="154"/>
        <v>6.25E-2</v>
      </c>
      <c r="AJ168" s="143">
        <f t="shared" si="154"/>
        <v>6.25E-2</v>
      </c>
      <c r="AK168" s="143">
        <f t="shared" si="154"/>
        <v>6.25E-2</v>
      </c>
      <c r="AL168" s="143">
        <f t="shared" si="154"/>
        <v>6.25E-2</v>
      </c>
      <c r="AM168" s="143">
        <f t="shared" si="154"/>
        <v>6.25E-2</v>
      </c>
      <c r="AN168" s="143">
        <f t="shared" si="154"/>
        <v>6.25E-2</v>
      </c>
      <c r="AO168" s="143">
        <f t="shared" si="154"/>
        <v>6.25E-2</v>
      </c>
      <c r="AP168" s="143">
        <f t="shared" si="154"/>
        <v>6.25E-2</v>
      </c>
      <c r="AQ168" s="191">
        <f t="shared" si="154"/>
        <v>6.25E-2</v>
      </c>
    </row>
    <row r="169" spans="2:43" x14ac:dyDescent="0.25">
      <c r="B169" s="190" t="s">
        <v>109</v>
      </c>
      <c r="C169" s="146">
        <f t="shared" ref="C169:AQ169" si="155">ROUND(C83,2)/ROUND(C65,2)-1</f>
        <v>7.0097164386277999E-2</v>
      </c>
      <c r="D169" s="151">
        <f t="shared" si="155"/>
        <v>5.803195962994101E-2</v>
      </c>
      <c r="E169" s="143">
        <f t="shared" si="155"/>
        <v>0.16699801192842934</v>
      </c>
      <c r="F169" s="143">
        <f t="shared" si="155"/>
        <v>6.7437379576107848E-2</v>
      </c>
      <c r="G169" s="146">
        <f t="shared" si="155"/>
        <v>4.3447627994363636E-2</v>
      </c>
      <c r="H169" s="151">
        <f t="shared" si="155"/>
        <v>1.410859341598969E-2</v>
      </c>
      <c r="I169" s="143">
        <f t="shared" si="155"/>
        <v>9.7484276729559616E-2</v>
      </c>
      <c r="J169" s="143">
        <f t="shared" si="155"/>
        <v>5.1876379690949159E-2</v>
      </c>
      <c r="K169" s="143">
        <f t="shared" si="155"/>
        <v>0.17279046673286991</v>
      </c>
      <c r="L169" s="143">
        <f t="shared" si="155"/>
        <v>0.22448979591836737</v>
      </c>
      <c r="M169" s="143">
        <f t="shared" si="155"/>
        <v>0.15435139573070611</v>
      </c>
      <c r="N169" s="143">
        <f t="shared" si="155"/>
        <v>0.17764471057884235</v>
      </c>
      <c r="O169" s="143">
        <f t="shared" si="155"/>
        <v>0.11336717428087995</v>
      </c>
      <c r="P169" s="143">
        <f t="shared" si="155"/>
        <v>-3.6316472114137466E-2</v>
      </c>
      <c r="Q169" s="143">
        <f t="shared" si="155"/>
        <v>-2.2545454545454535E-2</v>
      </c>
      <c r="R169" s="143">
        <f t="shared" si="155"/>
        <v>1.1911852293031489E-2</v>
      </c>
      <c r="S169" s="146">
        <f t="shared" si="155"/>
        <v>0.10700389105058372</v>
      </c>
      <c r="T169" s="151">
        <f t="shared" si="155"/>
        <v>1.3245033112582849E-2</v>
      </c>
      <c r="U169" s="143">
        <f t="shared" si="155"/>
        <v>5.2631578947368363E-2</v>
      </c>
      <c r="V169" s="143">
        <f t="shared" si="155"/>
        <v>5.1282051282051322E-2</v>
      </c>
      <c r="W169" s="143">
        <f t="shared" si="155"/>
        <v>0.17910447761194037</v>
      </c>
      <c r="X169" s="143">
        <f t="shared" si="155"/>
        <v>0.21568627450980382</v>
      </c>
      <c r="Y169" s="143">
        <f t="shared" si="155"/>
        <v>0.14634146341463405</v>
      </c>
      <c r="Z169" s="143">
        <f t="shared" si="155"/>
        <v>0.1875</v>
      </c>
      <c r="AA169" s="143">
        <f t="shared" si="155"/>
        <v>0.10526315789473673</v>
      </c>
      <c r="AB169" s="143">
        <f t="shared" si="155"/>
        <v>-1.9607843137254943E-2</v>
      </c>
      <c r="AC169" s="143">
        <f t="shared" si="155"/>
        <v>-2.2471910112359605E-2</v>
      </c>
      <c r="AD169" s="143">
        <f t="shared" si="155"/>
        <v>8.9285714285711748E-3</v>
      </c>
      <c r="AE169" s="146">
        <f t="shared" si="155"/>
        <v>0.10526315789473673</v>
      </c>
      <c r="AF169" s="151">
        <f t="shared" si="155"/>
        <v>1.3245033112582849E-2</v>
      </c>
      <c r="AG169" s="143">
        <f t="shared" si="155"/>
        <v>5.2631578947368363E-2</v>
      </c>
      <c r="AH169" s="143">
        <f t="shared" si="155"/>
        <v>5.1282051282051322E-2</v>
      </c>
      <c r="AI169" s="143">
        <f t="shared" si="155"/>
        <v>0.17910447761194037</v>
      </c>
      <c r="AJ169" s="143">
        <f t="shared" si="155"/>
        <v>0.21568627450980382</v>
      </c>
      <c r="AK169" s="143">
        <f t="shared" si="155"/>
        <v>0.14634146341463405</v>
      </c>
      <c r="AL169" s="143">
        <f t="shared" si="155"/>
        <v>0.1875</v>
      </c>
      <c r="AM169" s="143">
        <f t="shared" si="155"/>
        <v>0.10526315789473673</v>
      </c>
      <c r="AN169" s="143">
        <f t="shared" si="155"/>
        <v>-1.9607843137254943E-2</v>
      </c>
      <c r="AO169" s="143">
        <f t="shared" si="155"/>
        <v>-2.2471910112359605E-2</v>
      </c>
      <c r="AP169" s="143">
        <f t="shared" si="155"/>
        <v>8.9285714285711748E-3</v>
      </c>
      <c r="AQ169" s="191">
        <f t="shared" si="155"/>
        <v>0.10526315789473673</v>
      </c>
    </row>
    <row r="170" spans="2:43" ht="15.75" thickBot="1" x14ac:dyDescent="0.3">
      <c r="B170" s="190" t="s">
        <v>110</v>
      </c>
      <c r="C170" s="193">
        <f t="shared" ref="C170:AQ170" si="156">ROUND(C84,2)/ROUND(C66,2)-1</f>
        <v>0.51563510890662068</v>
      </c>
      <c r="D170" s="194">
        <f t="shared" si="156"/>
        <v>0.49794238683127556</v>
      </c>
      <c r="E170" s="195">
        <f t="shared" si="156"/>
        <v>0.65297297297297296</v>
      </c>
      <c r="F170" s="195">
        <f t="shared" si="156"/>
        <v>0.511173184357542</v>
      </c>
      <c r="G170" s="193">
        <f t="shared" si="156"/>
        <v>0.47752808988764062</v>
      </c>
      <c r="H170" s="194">
        <f t="shared" si="156"/>
        <v>0.43720930232558142</v>
      </c>
      <c r="I170" s="195">
        <f t="shared" si="156"/>
        <v>0.55403556771545825</v>
      </c>
      <c r="J170" s="195">
        <f t="shared" si="156"/>
        <v>0.48979591836734704</v>
      </c>
      <c r="K170" s="195">
        <f t="shared" si="156"/>
        <v>0.66090712742980573</v>
      </c>
      <c r="L170" s="195">
        <f t="shared" si="156"/>
        <v>0.73611111111111116</v>
      </c>
      <c r="M170" s="195">
        <f t="shared" si="156"/>
        <v>0.6357142857142859</v>
      </c>
      <c r="N170" s="195">
        <f t="shared" si="156"/>
        <v>0.66956521739130448</v>
      </c>
      <c r="O170" s="195">
        <f t="shared" si="156"/>
        <v>0.57720588235294112</v>
      </c>
      <c r="P170" s="195">
        <f t="shared" si="156"/>
        <v>0.36723163841807893</v>
      </c>
      <c r="Q170" s="195">
        <f t="shared" si="156"/>
        <v>0.38449367088607578</v>
      </c>
      <c r="R170" s="195">
        <f t="shared" si="156"/>
        <v>0.43264248704663233</v>
      </c>
      <c r="S170" s="193">
        <f t="shared" si="156"/>
        <v>0.56825396825396846</v>
      </c>
      <c r="T170" s="194">
        <f t="shared" si="156"/>
        <v>0.4492753623188408</v>
      </c>
      <c r="U170" s="195">
        <f t="shared" si="156"/>
        <v>0.5</v>
      </c>
      <c r="V170" s="195">
        <f t="shared" si="156"/>
        <v>0.4814814814814814</v>
      </c>
      <c r="W170" s="195">
        <f t="shared" si="156"/>
        <v>0.64516129032258074</v>
      </c>
      <c r="X170" s="195">
        <f t="shared" si="156"/>
        <v>0.73913043478260865</v>
      </c>
      <c r="Y170" s="195">
        <f t="shared" si="156"/>
        <v>0.63157894736842102</v>
      </c>
      <c r="Z170" s="195">
        <f t="shared" si="156"/>
        <v>0.66666666666666674</v>
      </c>
      <c r="AA170" s="195">
        <f t="shared" si="156"/>
        <v>0.5555555555555558</v>
      </c>
      <c r="AB170" s="195">
        <f t="shared" si="156"/>
        <v>0.33333333333333348</v>
      </c>
      <c r="AC170" s="195">
        <f t="shared" si="156"/>
        <v>0.36585365853658547</v>
      </c>
      <c r="AD170" s="195">
        <f t="shared" si="156"/>
        <v>0.4509803921568627</v>
      </c>
      <c r="AE170" s="193">
        <f t="shared" si="156"/>
        <v>0.57377049180327866</v>
      </c>
      <c r="AF170" s="194">
        <f t="shared" si="156"/>
        <v>0.4492753623188408</v>
      </c>
      <c r="AG170" s="195">
        <f t="shared" si="156"/>
        <v>0.5</v>
      </c>
      <c r="AH170" s="195">
        <f t="shared" si="156"/>
        <v>0.4814814814814814</v>
      </c>
      <c r="AI170" s="195">
        <f t="shared" si="156"/>
        <v>0.64516129032258074</v>
      </c>
      <c r="AJ170" s="195">
        <f t="shared" si="156"/>
        <v>0.73913043478260865</v>
      </c>
      <c r="AK170" s="195">
        <f t="shared" si="156"/>
        <v>0.63157894736842102</v>
      </c>
      <c r="AL170" s="195">
        <f t="shared" si="156"/>
        <v>0.66666666666666674</v>
      </c>
      <c r="AM170" s="195">
        <f t="shared" si="156"/>
        <v>0.5555555555555558</v>
      </c>
      <c r="AN170" s="195">
        <f t="shared" si="156"/>
        <v>0.33333333333333348</v>
      </c>
      <c r="AO170" s="195">
        <f t="shared" si="156"/>
        <v>0.36585365853658547</v>
      </c>
      <c r="AP170" s="195">
        <f t="shared" si="156"/>
        <v>0.4509803921568627</v>
      </c>
      <c r="AQ170" s="208">
        <f t="shared" si="156"/>
        <v>0.57377049180327866</v>
      </c>
    </row>
    <row r="171" spans="2:43" ht="15.75" thickBot="1" x14ac:dyDescent="0.3">
      <c r="B171" s="192" t="s">
        <v>111</v>
      </c>
      <c r="F171" s="74"/>
      <c r="G171" s="74"/>
      <c r="H171" s="74"/>
      <c r="I171" s="74"/>
      <c r="J171" s="74"/>
      <c r="K171" s="74"/>
    </row>
    <row r="172" spans="2:43" ht="15.75" x14ac:dyDescent="0.25">
      <c r="B172" s="373" t="s">
        <v>121</v>
      </c>
      <c r="C172" s="374"/>
      <c r="D172" s="374"/>
      <c r="E172" s="374"/>
      <c r="F172" s="374"/>
      <c r="G172" s="374"/>
      <c r="H172" s="374"/>
      <c r="I172" s="374"/>
      <c r="J172" s="374"/>
      <c r="K172" s="374"/>
      <c r="L172" s="374"/>
      <c r="M172" s="374"/>
      <c r="N172" s="374"/>
      <c r="O172" s="374"/>
      <c r="P172" s="374"/>
      <c r="Q172" s="374"/>
      <c r="R172" s="374"/>
      <c r="S172" s="374"/>
      <c r="T172" s="374"/>
      <c r="U172" s="374"/>
      <c r="V172" s="374"/>
      <c r="W172" s="374"/>
      <c r="X172" s="374"/>
      <c r="Y172" s="374"/>
      <c r="Z172" s="374"/>
      <c r="AA172" s="374"/>
      <c r="AB172" s="374"/>
      <c r="AC172" s="374"/>
      <c r="AD172" s="374"/>
      <c r="AE172" s="374"/>
      <c r="AF172" s="374"/>
      <c r="AG172" s="374"/>
      <c r="AH172" s="374"/>
      <c r="AI172" s="374"/>
      <c r="AJ172" s="374"/>
      <c r="AK172" s="374"/>
      <c r="AL172" s="374"/>
      <c r="AM172" s="374"/>
      <c r="AN172" s="374"/>
      <c r="AO172" s="374"/>
      <c r="AP172" s="374"/>
      <c r="AQ172" s="375"/>
    </row>
    <row r="173" spans="2:43" ht="15" customHeight="1" x14ac:dyDescent="0.25">
      <c r="B173" s="190"/>
      <c r="C173" s="380" t="s">
        <v>123</v>
      </c>
      <c r="D173" s="376" t="s">
        <v>97</v>
      </c>
      <c r="E173" s="377"/>
      <c r="F173" s="377"/>
      <c r="G173" s="378"/>
      <c r="H173" s="376" t="s">
        <v>98</v>
      </c>
      <c r="I173" s="377"/>
      <c r="J173" s="377"/>
      <c r="K173" s="377"/>
      <c r="L173" s="377"/>
      <c r="M173" s="377"/>
      <c r="N173" s="377"/>
      <c r="O173" s="377"/>
      <c r="P173" s="377"/>
      <c r="Q173" s="377"/>
      <c r="R173" s="377"/>
      <c r="S173" s="378"/>
      <c r="T173" s="376" t="s">
        <v>99</v>
      </c>
      <c r="U173" s="377"/>
      <c r="V173" s="377"/>
      <c r="W173" s="377"/>
      <c r="X173" s="377"/>
      <c r="Y173" s="377"/>
      <c r="Z173" s="377"/>
      <c r="AA173" s="377"/>
      <c r="AB173" s="377"/>
      <c r="AC173" s="377"/>
      <c r="AD173" s="377"/>
      <c r="AE173" s="378"/>
      <c r="AF173" s="376" t="s">
        <v>100</v>
      </c>
      <c r="AG173" s="377"/>
      <c r="AH173" s="377"/>
      <c r="AI173" s="377"/>
      <c r="AJ173" s="377"/>
      <c r="AK173" s="377"/>
      <c r="AL173" s="377"/>
      <c r="AM173" s="377"/>
      <c r="AN173" s="377"/>
      <c r="AO173" s="377"/>
      <c r="AP173" s="377"/>
      <c r="AQ173" s="379"/>
    </row>
    <row r="174" spans="2:43" x14ac:dyDescent="0.25">
      <c r="B174" s="189"/>
      <c r="C174" s="381"/>
      <c r="D174" s="331" t="s">
        <v>9</v>
      </c>
      <c r="E174" s="332" t="s">
        <v>10</v>
      </c>
      <c r="F174" s="332" t="s">
        <v>11</v>
      </c>
      <c r="G174" s="333" t="s">
        <v>12</v>
      </c>
      <c r="H174" s="173" t="s">
        <v>35</v>
      </c>
      <c r="I174" s="165" t="s">
        <v>36</v>
      </c>
      <c r="J174" s="165" t="s">
        <v>37</v>
      </c>
      <c r="K174" s="165" t="s">
        <v>38</v>
      </c>
      <c r="L174" s="165" t="s">
        <v>39</v>
      </c>
      <c r="M174" s="165" t="s">
        <v>40</v>
      </c>
      <c r="N174" s="165" t="s">
        <v>41</v>
      </c>
      <c r="O174" s="165" t="s">
        <v>42</v>
      </c>
      <c r="P174" s="165" t="s">
        <v>43</v>
      </c>
      <c r="Q174" s="165" t="s">
        <v>44</v>
      </c>
      <c r="R174" s="165" t="s">
        <v>45</v>
      </c>
      <c r="S174" s="183" t="s">
        <v>46</v>
      </c>
      <c r="T174" s="173" t="s">
        <v>35</v>
      </c>
      <c r="U174" s="165" t="s">
        <v>36</v>
      </c>
      <c r="V174" s="165" t="s">
        <v>37</v>
      </c>
      <c r="W174" s="165" t="s">
        <v>38</v>
      </c>
      <c r="X174" s="165" t="s">
        <v>39</v>
      </c>
      <c r="Y174" s="165" t="s">
        <v>40</v>
      </c>
      <c r="Z174" s="165" t="s">
        <v>41</v>
      </c>
      <c r="AA174" s="165" t="s">
        <v>42</v>
      </c>
      <c r="AB174" s="165" t="s">
        <v>43</v>
      </c>
      <c r="AC174" s="165" t="s">
        <v>44</v>
      </c>
      <c r="AD174" s="165" t="s">
        <v>45</v>
      </c>
      <c r="AE174" s="183" t="s">
        <v>46</v>
      </c>
      <c r="AF174" s="174" t="s">
        <v>35</v>
      </c>
      <c r="AG174" s="165" t="s">
        <v>36</v>
      </c>
      <c r="AH174" s="165" t="s">
        <v>37</v>
      </c>
      <c r="AI174" s="165" t="s">
        <v>38</v>
      </c>
      <c r="AJ174" s="165" t="s">
        <v>39</v>
      </c>
      <c r="AK174" s="165" t="s">
        <v>40</v>
      </c>
      <c r="AL174" s="165" t="s">
        <v>41</v>
      </c>
      <c r="AM174" s="165" t="s">
        <v>42</v>
      </c>
      <c r="AN174" s="165" t="s">
        <v>43</v>
      </c>
      <c r="AO174" s="165" t="s">
        <v>44</v>
      </c>
      <c r="AP174" s="165" t="s">
        <v>45</v>
      </c>
      <c r="AQ174" s="334" t="s">
        <v>46</v>
      </c>
    </row>
    <row r="175" spans="2:43" x14ac:dyDescent="0.25">
      <c r="B175" s="190" t="s">
        <v>101</v>
      </c>
      <c r="C175" s="146">
        <f>ROUND(C92,2)/ROUND(C74,2)-1</f>
        <v>0</v>
      </c>
      <c r="D175" s="143">
        <f>ROUND(D92,2)/ROUND(D74,2)-1</f>
        <v>-8.4507042253521014E-3</v>
      </c>
      <c r="E175" s="143">
        <f>ROUND(E92,2)/ROUND(E74,2)-1</f>
        <v>2.5608194622279701E-3</v>
      </c>
      <c r="F175" s="143">
        <f t="shared" ref="F175:AQ175" si="157">ROUND(F92,2)/ROUND(F74,2)-1</f>
        <v>2.5329280648429542E-3</v>
      </c>
      <c r="G175" s="146">
        <f t="shared" si="157"/>
        <v>2.5329280648429542E-3</v>
      </c>
      <c r="H175" s="143">
        <f t="shared" si="157"/>
        <v>2.6455026455027841E-3</v>
      </c>
      <c r="I175" s="143">
        <f t="shared" si="157"/>
        <v>-3.1824611032531869E-2</v>
      </c>
      <c r="J175" s="143">
        <f t="shared" si="157"/>
        <v>2.6455026455027841E-3</v>
      </c>
      <c r="K175" s="143">
        <f t="shared" si="157"/>
        <v>2.7341079972658111E-3</v>
      </c>
      <c r="L175" s="143">
        <f t="shared" si="157"/>
        <v>2.6455026455027841E-3</v>
      </c>
      <c r="M175" s="143">
        <f t="shared" si="157"/>
        <v>2.7341079972658111E-3</v>
      </c>
      <c r="N175" s="143">
        <f t="shared" si="157"/>
        <v>2.6455026455027841E-3</v>
      </c>
      <c r="O175" s="143">
        <f t="shared" si="157"/>
        <v>2.6455026455027841E-3</v>
      </c>
      <c r="P175" s="143">
        <f t="shared" si="157"/>
        <v>2.7341079972658111E-3</v>
      </c>
      <c r="Q175" s="143">
        <f t="shared" si="157"/>
        <v>2.6455026455027841E-3</v>
      </c>
      <c r="R175" s="143">
        <f t="shared" si="157"/>
        <v>2.7341079972658111E-3</v>
      </c>
      <c r="S175" s="146">
        <f t="shared" si="157"/>
        <v>2.6455026455027841E-3</v>
      </c>
      <c r="T175" s="143">
        <f t="shared" si="157"/>
        <v>0</v>
      </c>
      <c r="U175" s="143">
        <f t="shared" si="157"/>
        <v>0</v>
      </c>
      <c r="V175" s="143">
        <f t="shared" si="157"/>
        <v>0</v>
      </c>
      <c r="W175" s="143">
        <f t="shared" si="157"/>
        <v>0</v>
      </c>
      <c r="X175" s="143">
        <f t="shared" si="157"/>
        <v>0</v>
      </c>
      <c r="Y175" s="143">
        <f t="shared" si="157"/>
        <v>0</v>
      </c>
      <c r="Z175" s="143">
        <f t="shared" si="157"/>
        <v>0</v>
      </c>
      <c r="AA175" s="143">
        <f t="shared" si="157"/>
        <v>0</v>
      </c>
      <c r="AB175" s="143">
        <f t="shared" si="157"/>
        <v>0</v>
      </c>
      <c r="AC175" s="143">
        <f t="shared" si="157"/>
        <v>0</v>
      </c>
      <c r="AD175" s="143">
        <f t="shared" si="157"/>
        <v>0</v>
      </c>
      <c r="AE175" s="146">
        <f t="shared" si="157"/>
        <v>0</v>
      </c>
      <c r="AF175" s="143">
        <f t="shared" si="157"/>
        <v>0</v>
      </c>
      <c r="AG175" s="143">
        <f t="shared" si="157"/>
        <v>0</v>
      </c>
      <c r="AH175" s="143">
        <f t="shared" si="157"/>
        <v>0</v>
      </c>
      <c r="AI175" s="143">
        <f t="shared" si="157"/>
        <v>0</v>
      </c>
      <c r="AJ175" s="143">
        <f t="shared" si="157"/>
        <v>0</v>
      </c>
      <c r="AK175" s="143">
        <f t="shared" si="157"/>
        <v>0</v>
      </c>
      <c r="AL175" s="143">
        <f t="shared" si="157"/>
        <v>0</v>
      </c>
      <c r="AM175" s="143">
        <f t="shared" si="157"/>
        <v>0</v>
      </c>
      <c r="AN175" s="143">
        <f t="shared" si="157"/>
        <v>0</v>
      </c>
      <c r="AO175" s="143">
        <f t="shared" si="157"/>
        <v>0</v>
      </c>
      <c r="AP175" s="143">
        <f t="shared" si="157"/>
        <v>0</v>
      </c>
      <c r="AQ175" s="191">
        <f t="shared" si="157"/>
        <v>0</v>
      </c>
    </row>
    <row r="176" spans="2:43" x14ac:dyDescent="0.25">
      <c r="B176" s="213" t="s">
        <v>102</v>
      </c>
      <c r="C176" s="146">
        <f t="shared" ref="C176:D185" si="158">ROUND(C93,2)/ROUND(C75,2)-1</f>
        <v>0</v>
      </c>
      <c r="D176" s="143">
        <f t="shared" si="158"/>
        <v>-8.4507042253521014E-3</v>
      </c>
      <c r="E176" s="143">
        <f>ROUND(E93,2)/ROUND(E75,2)-1</f>
        <v>2.5608194622279701E-3</v>
      </c>
      <c r="F176" s="143">
        <f t="shared" ref="F176:AQ176" si="159">ROUND(F93,2)/ROUND(F75,2)-1</f>
        <v>2.5329280648429542E-3</v>
      </c>
      <c r="G176" s="146">
        <f t="shared" si="159"/>
        <v>2.5329280648429542E-3</v>
      </c>
      <c r="H176" s="143">
        <f t="shared" si="159"/>
        <v>2.6455026455027841E-3</v>
      </c>
      <c r="I176" s="143">
        <f t="shared" si="159"/>
        <v>-3.1824611032531869E-2</v>
      </c>
      <c r="J176" s="143">
        <f t="shared" si="159"/>
        <v>2.6455026455027841E-3</v>
      </c>
      <c r="K176" s="143">
        <f t="shared" si="159"/>
        <v>2.7341079972658111E-3</v>
      </c>
      <c r="L176" s="143">
        <f t="shared" si="159"/>
        <v>2.6455026455027841E-3</v>
      </c>
      <c r="M176" s="143">
        <f t="shared" si="159"/>
        <v>2.7341079972658111E-3</v>
      </c>
      <c r="N176" s="143">
        <f t="shared" si="159"/>
        <v>2.6455026455027841E-3</v>
      </c>
      <c r="O176" s="143">
        <f t="shared" si="159"/>
        <v>2.6455026455027841E-3</v>
      </c>
      <c r="P176" s="143">
        <f t="shared" si="159"/>
        <v>2.7341079972658111E-3</v>
      </c>
      <c r="Q176" s="143">
        <f t="shared" si="159"/>
        <v>2.6455026455027841E-3</v>
      </c>
      <c r="R176" s="143">
        <f t="shared" si="159"/>
        <v>2.7341079972658111E-3</v>
      </c>
      <c r="S176" s="146">
        <f t="shared" si="159"/>
        <v>2.6455026455027841E-3</v>
      </c>
      <c r="T176" s="143">
        <f t="shared" si="159"/>
        <v>0</v>
      </c>
      <c r="U176" s="143">
        <f t="shared" si="159"/>
        <v>0</v>
      </c>
      <c r="V176" s="143">
        <f t="shared" si="159"/>
        <v>0</v>
      </c>
      <c r="W176" s="143">
        <f t="shared" si="159"/>
        <v>0</v>
      </c>
      <c r="X176" s="143">
        <f t="shared" si="159"/>
        <v>0</v>
      </c>
      <c r="Y176" s="143">
        <f t="shared" si="159"/>
        <v>0</v>
      </c>
      <c r="Z176" s="143">
        <f t="shared" si="159"/>
        <v>0</v>
      </c>
      <c r="AA176" s="143">
        <f t="shared" si="159"/>
        <v>0</v>
      </c>
      <c r="AB176" s="143">
        <f t="shared" si="159"/>
        <v>0</v>
      </c>
      <c r="AC176" s="143">
        <f t="shared" si="159"/>
        <v>0</v>
      </c>
      <c r="AD176" s="143">
        <f t="shared" si="159"/>
        <v>0</v>
      </c>
      <c r="AE176" s="146">
        <f t="shared" si="159"/>
        <v>0</v>
      </c>
      <c r="AF176" s="143">
        <f t="shared" si="159"/>
        <v>0</v>
      </c>
      <c r="AG176" s="143">
        <f t="shared" si="159"/>
        <v>0</v>
      </c>
      <c r="AH176" s="143">
        <f t="shared" si="159"/>
        <v>0</v>
      </c>
      <c r="AI176" s="143">
        <f t="shared" si="159"/>
        <v>0</v>
      </c>
      <c r="AJ176" s="143">
        <f t="shared" si="159"/>
        <v>0</v>
      </c>
      <c r="AK176" s="143">
        <f t="shared" si="159"/>
        <v>0</v>
      </c>
      <c r="AL176" s="143">
        <f t="shared" si="159"/>
        <v>0</v>
      </c>
      <c r="AM176" s="143">
        <f t="shared" si="159"/>
        <v>0</v>
      </c>
      <c r="AN176" s="143">
        <f t="shared" si="159"/>
        <v>0</v>
      </c>
      <c r="AO176" s="143">
        <f t="shared" si="159"/>
        <v>0</v>
      </c>
      <c r="AP176" s="143">
        <f t="shared" si="159"/>
        <v>0</v>
      </c>
      <c r="AQ176" s="191">
        <f t="shared" si="159"/>
        <v>0</v>
      </c>
    </row>
    <row r="177" spans="2:43" x14ac:dyDescent="0.25">
      <c r="B177" s="190" t="s">
        <v>103</v>
      </c>
      <c r="C177" s="146">
        <f t="shared" si="158"/>
        <v>0</v>
      </c>
      <c r="D177" s="143">
        <f t="shared" si="158"/>
        <v>-8.1383519837232576E-3</v>
      </c>
      <c r="E177" s="143">
        <f t="shared" ref="E177:AQ177" si="160">ROUND(E94,2)/ROUND(E76,2)-1</f>
        <v>3.0518819938962771E-3</v>
      </c>
      <c r="F177" s="143">
        <f t="shared" si="160"/>
        <v>3.0181086519116551E-3</v>
      </c>
      <c r="G177" s="146">
        <f t="shared" si="160"/>
        <v>3.0181086519116551E-3</v>
      </c>
      <c r="H177" s="143">
        <f t="shared" si="160"/>
        <v>2.624671916010346E-3</v>
      </c>
      <c r="I177" s="143">
        <f t="shared" si="160"/>
        <v>-3.0898876404494402E-2</v>
      </c>
      <c r="J177" s="143">
        <f t="shared" si="160"/>
        <v>2.624671916010346E-3</v>
      </c>
      <c r="K177" s="143">
        <f t="shared" si="160"/>
        <v>2.7173913043476716E-3</v>
      </c>
      <c r="L177" s="143">
        <f t="shared" si="160"/>
        <v>2.624671916010346E-3</v>
      </c>
      <c r="M177" s="143">
        <f t="shared" si="160"/>
        <v>2.7173913043476716E-3</v>
      </c>
      <c r="N177" s="143">
        <f t="shared" si="160"/>
        <v>2.624671916010346E-3</v>
      </c>
      <c r="O177" s="143">
        <f t="shared" si="160"/>
        <v>2.624671916010346E-3</v>
      </c>
      <c r="P177" s="143">
        <f t="shared" si="160"/>
        <v>2.7173913043476716E-3</v>
      </c>
      <c r="Q177" s="143">
        <f t="shared" si="160"/>
        <v>2.624671916010346E-3</v>
      </c>
      <c r="R177" s="143">
        <f t="shared" si="160"/>
        <v>2.7173913043476716E-3</v>
      </c>
      <c r="S177" s="146">
        <f t="shared" si="160"/>
        <v>2.624671916010346E-3</v>
      </c>
      <c r="T177" s="143">
        <f t="shared" si="160"/>
        <v>0</v>
      </c>
      <c r="U177" s="143">
        <f t="shared" si="160"/>
        <v>0</v>
      </c>
      <c r="V177" s="143">
        <f t="shared" si="160"/>
        <v>0</v>
      </c>
      <c r="W177" s="143">
        <f t="shared" si="160"/>
        <v>0</v>
      </c>
      <c r="X177" s="143">
        <f t="shared" si="160"/>
        <v>0</v>
      </c>
      <c r="Y177" s="143">
        <f t="shared" si="160"/>
        <v>0</v>
      </c>
      <c r="Z177" s="143">
        <f t="shared" si="160"/>
        <v>0</v>
      </c>
      <c r="AA177" s="143">
        <f t="shared" si="160"/>
        <v>0</v>
      </c>
      <c r="AB177" s="143">
        <f t="shared" si="160"/>
        <v>0</v>
      </c>
      <c r="AC177" s="143">
        <f t="shared" si="160"/>
        <v>0</v>
      </c>
      <c r="AD177" s="143">
        <f t="shared" si="160"/>
        <v>0</v>
      </c>
      <c r="AE177" s="146">
        <f t="shared" si="160"/>
        <v>0</v>
      </c>
      <c r="AF177" s="143">
        <f t="shared" si="160"/>
        <v>0</v>
      </c>
      <c r="AG177" s="143">
        <f t="shared" si="160"/>
        <v>0</v>
      </c>
      <c r="AH177" s="143">
        <f t="shared" si="160"/>
        <v>0</v>
      </c>
      <c r="AI177" s="143">
        <f t="shared" si="160"/>
        <v>0</v>
      </c>
      <c r="AJ177" s="143">
        <f t="shared" si="160"/>
        <v>0</v>
      </c>
      <c r="AK177" s="143">
        <f t="shared" si="160"/>
        <v>0</v>
      </c>
      <c r="AL177" s="143">
        <f t="shared" si="160"/>
        <v>0</v>
      </c>
      <c r="AM177" s="143">
        <f t="shared" si="160"/>
        <v>0</v>
      </c>
      <c r="AN177" s="143">
        <f t="shared" si="160"/>
        <v>0</v>
      </c>
      <c r="AO177" s="143">
        <f t="shared" si="160"/>
        <v>0</v>
      </c>
      <c r="AP177" s="143">
        <f t="shared" si="160"/>
        <v>0</v>
      </c>
      <c r="AQ177" s="191">
        <f t="shared" si="160"/>
        <v>0</v>
      </c>
    </row>
    <row r="178" spans="2:43" x14ac:dyDescent="0.25">
      <c r="B178" s="190" t="s">
        <v>104</v>
      </c>
      <c r="C178" s="146">
        <f t="shared" si="158"/>
        <v>0</v>
      </c>
      <c r="D178" s="143">
        <f t="shared" si="158"/>
        <v>-8.4507042253521014E-3</v>
      </c>
      <c r="E178" s="143">
        <f t="shared" ref="E178:AQ178" si="161">ROUND(E95,2)/ROUND(E77,2)-1</f>
        <v>2.5608194622279701E-3</v>
      </c>
      <c r="F178" s="143">
        <f t="shared" si="161"/>
        <v>2.5329280648429542E-3</v>
      </c>
      <c r="G178" s="146">
        <f t="shared" si="161"/>
        <v>2.5329280648429542E-3</v>
      </c>
      <c r="H178" s="143">
        <f t="shared" si="161"/>
        <v>2.6455026455027841E-3</v>
      </c>
      <c r="I178" s="143">
        <f t="shared" si="161"/>
        <v>-3.1824611032531869E-2</v>
      </c>
      <c r="J178" s="143">
        <f t="shared" si="161"/>
        <v>2.6455026455027841E-3</v>
      </c>
      <c r="K178" s="143">
        <f t="shared" si="161"/>
        <v>2.7341079972658111E-3</v>
      </c>
      <c r="L178" s="143">
        <f t="shared" si="161"/>
        <v>2.6455026455027841E-3</v>
      </c>
      <c r="M178" s="143">
        <f t="shared" si="161"/>
        <v>2.7341079972658111E-3</v>
      </c>
      <c r="N178" s="143">
        <f t="shared" si="161"/>
        <v>2.6455026455027841E-3</v>
      </c>
      <c r="O178" s="143">
        <f t="shared" si="161"/>
        <v>2.6455026455027841E-3</v>
      </c>
      <c r="P178" s="143">
        <f t="shared" si="161"/>
        <v>2.7341079972658111E-3</v>
      </c>
      <c r="Q178" s="143">
        <f t="shared" si="161"/>
        <v>2.6455026455027841E-3</v>
      </c>
      <c r="R178" s="143">
        <f t="shared" si="161"/>
        <v>2.7341079972658111E-3</v>
      </c>
      <c r="S178" s="146">
        <f t="shared" si="161"/>
        <v>2.6455026455027841E-3</v>
      </c>
      <c r="T178" s="143">
        <f t="shared" si="161"/>
        <v>1.6949152542372836E-2</v>
      </c>
      <c r="U178" s="143">
        <f t="shared" si="161"/>
        <v>1.6949152542372836E-2</v>
      </c>
      <c r="V178" s="143">
        <f t="shared" si="161"/>
        <v>1.6949152542372836E-2</v>
      </c>
      <c r="W178" s="143">
        <f t="shared" si="161"/>
        <v>1.6949152542372836E-2</v>
      </c>
      <c r="X178" s="143">
        <f t="shared" si="161"/>
        <v>1.6949152542372836E-2</v>
      </c>
      <c r="Y178" s="143">
        <f t="shared" si="161"/>
        <v>1.6949152542372836E-2</v>
      </c>
      <c r="Z178" s="143">
        <f t="shared" si="161"/>
        <v>1.6949152542372836E-2</v>
      </c>
      <c r="AA178" s="143">
        <f t="shared" si="161"/>
        <v>1.6949152542372836E-2</v>
      </c>
      <c r="AB178" s="143">
        <f t="shared" si="161"/>
        <v>1.6949152542372836E-2</v>
      </c>
      <c r="AC178" s="143">
        <f t="shared" si="161"/>
        <v>1.6949152542372836E-2</v>
      </c>
      <c r="AD178" s="143">
        <f t="shared" si="161"/>
        <v>1.6949152542372836E-2</v>
      </c>
      <c r="AE178" s="146">
        <f t="shared" si="161"/>
        <v>1.6949152542372836E-2</v>
      </c>
      <c r="AF178" s="143">
        <f t="shared" si="161"/>
        <v>-1.5151515151515138E-2</v>
      </c>
      <c r="AG178" s="143">
        <f t="shared" si="161"/>
        <v>-1.5151515151515138E-2</v>
      </c>
      <c r="AH178" s="143">
        <f t="shared" si="161"/>
        <v>-1.5151515151515138E-2</v>
      </c>
      <c r="AI178" s="143">
        <f t="shared" si="161"/>
        <v>-1.5151515151515138E-2</v>
      </c>
      <c r="AJ178" s="143">
        <f t="shared" si="161"/>
        <v>-1.5151515151515138E-2</v>
      </c>
      <c r="AK178" s="143">
        <f t="shared" si="161"/>
        <v>-1.5151515151515138E-2</v>
      </c>
      <c r="AL178" s="143">
        <f t="shared" si="161"/>
        <v>-1.5151515151515138E-2</v>
      </c>
      <c r="AM178" s="143">
        <f t="shared" si="161"/>
        <v>-1.5151515151515138E-2</v>
      </c>
      <c r="AN178" s="143">
        <f t="shared" si="161"/>
        <v>-1.5151515151515138E-2</v>
      </c>
      <c r="AO178" s="143">
        <f t="shared" si="161"/>
        <v>-1.5151515151515138E-2</v>
      </c>
      <c r="AP178" s="143">
        <f t="shared" si="161"/>
        <v>-1.5151515151515138E-2</v>
      </c>
      <c r="AQ178" s="191">
        <f t="shared" si="161"/>
        <v>-1.5151515151515138E-2</v>
      </c>
    </row>
    <row r="179" spans="2:43" x14ac:dyDescent="0.25">
      <c r="B179" s="190" t="s">
        <v>105</v>
      </c>
      <c r="C179" s="146">
        <f t="shared" si="158"/>
        <v>0</v>
      </c>
      <c r="D179" s="143">
        <f t="shared" si="158"/>
        <v>-8.4507042253521014E-3</v>
      </c>
      <c r="E179" s="143">
        <f t="shared" ref="E179:AQ179" si="162">ROUND(E96,2)/ROUND(E78,2)-1</f>
        <v>2.5608194622279701E-3</v>
      </c>
      <c r="F179" s="143">
        <f t="shared" si="162"/>
        <v>2.5329280648429542E-3</v>
      </c>
      <c r="G179" s="146">
        <f t="shared" si="162"/>
        <v>2.5329280648429542E-3</v>
      </c>
      <c r="H179" s="143">
        <f t="shared" si="162"/>
        <v>2.6455026455027841E-3</v>
      </c>
      <c r="I179" s="143">
        <f t="shared" si="162"/>
        <v>-3.1824611032531869E-2</v>
      </c>
      <c r="J179" s="143">
        <f t="shared" si="162"/>
        <v>2.6455026455027841E-3</v>
      </c>
      <c r="K179" s="143">
        <f t="shared" si="162"/>
        <v>2.7341079972658111E-3</v>
      </c>
      <c r="L179" s="143">
        <f t="shared" si="162"/>
        <v>2.6455026455027841E-3</v>
      </c>
      <c r="M179" s="143">
        <f t="shared" si="162"/>
        <v>2.7341079972658111E-3</v>
      </c>
      <c r="N179" s="143">
        <f t="shared" si="162"/>
        <v>2.6455026455027841E-3</v>
      </c>
      <c r="O179" s="143">
        <f t="shared" si="162"/>
        <v>2.6455026455027841E-3</v>
      </c>
      <c r="P179" s="143">
        <f t="shared" si="162"/>
        <v>2.7341079972658111E-3</v>
      </c>
      <c r="Q179" s="143">
        <f t="shared" si="162"/>
        <v>2.6455026455027841E-3</v>
      </c>
      <c r="R179" s="143">
        <f t="shared" si="162"/>
        <v>2.7341079972658111E-3</v>
      </c>
      <c r="S179" s="146">
        <f t="shared" si="162"/>
        <v>2.6455026455027841E-3</v>
      </c>
      <c r="T179" s="143">
        <f t="shared" si="162"/>
        <v>0</v>
      </c>
      <c r="U179" s="143">
        <f t="shared" si="162"/>
        <v>0</v>
      </c>
      <c r="V179" s="143">
        <f t="shared" si="162"/>
        <v>0</v>
      </c>
      <c r="W179" s="143">
        <f t="shared" si="162"/>
        <v>0</v>
      </c>
      <c r="X179" s="143">
        <f t="shared" si="162"/>
        <v>0</v>
      </c>
      <c r="Y179" s="143">
        <f t="shared" si="162"/>
        <v>0</v>
      </c>
      <c r="Z179" s="143">
        <f t="shared" si="162"/>
        <v>0</v>
      </c>
      <c r="AA179" s="143">
        <f t="shared" si="162"/>
        <v>0</v>
      </c>
      <c r="AB179" s="143">
        <f t="shared" si="162"/>
        <v>0</v>
      </c>
      <c r="AC179" s="143">
        <f t="shared" si="162"/>
        <v>0</v>
      </c>
      <c r="AD179" s="143">
        <f t="shared" si="162"/>
        <v>0</v>
      </c>
      <c r="AE179" s="146">
        <f t="shared" si="162"/>
        <v>0</v>
      </c>
      <c r="AF179" s="143">
        <f t="shared" si="162"/>
        <v>0</v>
      </c>
      <c r="AG179" s="143">
        <f t="shared" si="162"/>
        <v>0</v>
      </c>
      <c r="AH179" s="143">
        <f t="shared" si="162"/>
        <v>0</v>
      </c>
      <c r="AI179" s="143">
        <f t="shared" si="162"/>
        <v>0</v>
      </c>
      <c r="AJ179" s="143">
        <f t="shared" si="162"/>
        <v>0</v>
      </c>
      <c r="AK179" s="143">
        <f t="shared" si="162"/>
        <v>0</v>
      </c>
      <c r="AL179" s="143">
        <f t="shared" si="162"/>
        <v>0</v>
      </c>
      <c r="AM179" s="143">
        <f t="shared" si="162"/>
        <v>0</v>
      </c>
      <c r="AN179" s="143">
        <f t="shared" si="162"/>
        <v>0</v>
      </c>
      <c r="AO179" s="143">
        <f t="shared" si="162"/>
        <v>0</v>
      </c>
      <c r="AP179" s="143">
        <f t="shared" si="162"/>
        <v>0</v>
      </c>
      <c r="AQ179" s="191">
        <f t="shared" si="162"/>
        <v>0</v>
      </c>
    </row>
    <row r="180" spans="2:43" x14ac:dyDescent="0.25">
      <c r="B180" s="190" t="s">
        <v>106</v>
      </c>
      <c r="C180" s="146">
        <f t="shared" si="158"/>
        <v>0</v>
      </c>
      <c r="D180" s="143">
        <f t="shared" si="158"/>
        <v>-8.4507042253521014E-3</v>
      </c>
      <c r="E180" s="143">
        <f t="shared" ref="E180:AQ180" si="163">ROUND(E97,2)/ROUND(E79,2)-1</f>
        <v>2.5608194622279701E-3</v>
      </c>
      <c r="F180" s="143">
        <f t="shared" si="163"/>
        <v>2.5329280648429542E-3</v>
      </c>
      <c r="G180" s="146">
        <f t="shared" si="163"/>
        <v>2.5329280648429542E-3</v>
      </c>
      <c r="H180" s="143">
        <f t="shared" si="163"/>
        <v>2.6455026455027841E-3</v>
      </c>
      <c r="I180" s="143">
        <f t="shared" si="163"/>
        <v>-3.1824611032531869E-2</v>
      </c>
      <c r="J180" s="143">
        <f t="shared" si="163"/>
        <v>2.6455026455027841E-3</v>
      </c>
      <c r="K180" s="143">
        <f t="shared" si="163"/>
        <v>2.7341079972658111E-3</v>
      </c>
      <c r="L180" s="143">
        <f t="shared" si="163"/>
        <v>2.6455026455027841E-3</v>
      </c>
      <c r="M180" s="143">
        <f t="shared" si="163"/>
        <v>2.7341079972658111E-3</v>
      </c>
      <c r="N180" s="143">
        <f t="shared" si="163"/>
        <v>2.6455026455027841E-3</v>
      </c>
      <c r="O180" s="143">
        <f t="shared" si="163"/>
        <v>2.6455026455027841E-3</v>
      </c>
      <c r="P180" s="143">
        <f t="shared" si="163"/>
        <v>2.7341079972658111E-3</v>
      </c>
      <c r="Q180" s="143">
        <f t="shared" si="163"/>
        <v>2.6455026455027841E-3</v>
      </c>
      <c r="R180" s="143">
        <f t="shared" si="163"/>
        <v>2.7341079972658111E-3</v>
      </c>
      <c r="S180" s="146">
        <f t="shared" si="163"/>
        <v>2.6455026455027841E-3</v>
      </c>
      <c r="T180" s="143">
        <f t="shared" si="163"/>
        <v>0</v>
      </c>
      <c r="U180" s="143">
        <f t="shared" si="163"/>
        <v>0</v>
      </c>
      <c r="V180" s="143">
        <f t="shared" si="163"/>
        <v>0</v>
      </c>
      <c r="W180" s="143">
        <f t="shared" si="163"/>
        <v>0</v>
      </c>
      <c r="X180" s="143">
        <f t="shared" si="163"/>
        <v>0</v>
      </c>
      <c r="Y180" s="143">
        <f t="shared" si="163"/>
        <v>0</v>
      </c>
      <c r="Z180" s="143">
        <f t="shared" si="163"/>
        <v>0</v>
      </c>
      <c r="AA180" s="143">
        <f t="shared" si="163"/>
        <v>0</v>
      </c>
      <c r="AB180" s="143">
        <f t="shared" si="163"/>
        <v>0</v>
      </c>
      <c r="AC180" s="143">
        <f t="shared" si="163"/>
        <v>0</v>
      </c>
      <c r="AD180" s="143">
        <f t="shared" si="163"/>
        <v>0</v>
      </c>
      <c r="AE180" s="146">
        <f t="shared" si="163"/>
        <v>0</v>
      </c>
      <c r="AF180" s="143">
        <f t="shared" si="163"/>
        <v>0</v>
      </c>
      <c r="AG180" s="143">
        <f t="shared" si="163"/>
        <v>0</v>
      </c>
      <c r="AH180" s="143">
        <f t="shared" si="163"/>
        <v>0</v>
      </c>
      <c r="AI180" s="143">
        <f t="shared" si="163"/>
        <v>0</v>
      </c>
      <c r="AJ180" s="143">
        <f t="shared" si="163"/>
        <v>0</v>
      </c>
      <c r="AK180" s="143">
        <f t="shared" si="163"/>
        <v>0</v>
      </c>
      <c r="AL180" s="143">
        <f t="shared" si="163"/>
        <v>0</v>
      </c>
      <c r="AM180" s="143">
        <f t="shared" si="163"/>
        <v>0</v>
      </c>
      <c r="AN180" s="143">
        <f t="shared" si="163"/>
        <v>0</v>
      </c>
      <c r="AO180" s="143">
        <f t="shared" si="163"/>
        <v>0</v>
      </c>
      <c r="AP180" s="143">
        <f t="shared" si="163"/>
        <v>0</v>
      </c>
      <c r="AQ180" s="191">
        <f t="shared" si="163"/>
        <v>0</v>
      </c>
    </row>
    <row r="181" spans="2:43" x14ac:dyDescent="0.25">
      <c r="B181" s="190" t="s">
        <v>107</v>
      </c>
      <c r="C181" s="146">
        <f t="shared" si="158"/>
        <v>-0.22851651871510936</v>
      </c>
      <c r="D181" s="143">
        <f t="shared" si="158"/>
        <v>-0.23519571763131486</v>
      </c>
      <c r="E181" s="143">
        <f t="shared" ref="E181:AQ181" si="164">ROUND(E98,2)/ROUND(E80,2)-1</f>
        <v>-0.22649715623954503</v>
      </c>
      <c r="F181" s="143">
        <f t="shared" si="164"/>
        <v>-0.22641509433962259</v>
      </c>
      <c r="G181" s="146">
        <f t="shared" si="164"/>
        <v>-0.22641509433962259</v>
      </c>
      <c r="H181" s="143">
        <f t="shared" si="164"/>
        <v>-0.22644770959377714</v>
      </c>
      <c r="I181" s="143">
        <f t="shared" si="164"/>
        <v>-0.25323475046210719</v>
      </c>
      <c r="J181" s="143">
        <f t="shared" si="164"/>
        <v>-0.22644770959377714</v>
      </c>
      <c r="K181" s="143">
        <f t="shared" si="164"/>
        <v>-0.22678571428571426</v>
      </c>
      <c r="L181" s="143">
        <f t="shared" si="164"/>
        <v>-0.22644770959377714</v>
      </c>
      <c r="M181" s="143">
        <f t="shared" si="164"/>
        <v>-0.22678571428571426</v>
      </c>
      <c r="N181" s="143">
        <f t="shared" si="164"/>
        <v>-0.22644770959377714</v>
      </c>
      <c r="O181" s="143">
        <f t="shared" si="164"/>
        <v>-0.22644770959377714</v>
      </c>
      <c r="P181" s="143">
        <f t="shared" si="164"/>
        <v>-0.22678571428571426</v>
      </c>
      <c r="Q181" s="143">
        <f t="shared" si="164"/>
        <v>-0.22644770959377714</v>
      </c>
      <c r="R181" s="143">
        <f t="shared" si="164"/>
        <v>-0.22678571428571426</v>
      </c>
      <c r="S181" s="146">
        <f t="shared" si="164"/>
        <v>-0.22644770959377714</v>
      </c>
      <c r="T181" s="143">
        <f t="shared" si="164"/>
        <v>-0.24444444444444446</v>
      </c>
      <c r="U181" s="143">
        <f t="shared" si="164"/>
        <v>-0.24444444444444446</v>
      </c>
      <c r="V181" s="143">
        <f t="shared" si="164"/>
        <v>-0.24444444444444446</v>
      </c>
      <c r="W181" s="143">
        <f t="shared" si="164"/>
        <v>-0.24444444444444446</v>
      </c>
      <c r="X181" s="143">
        <f t="shared" si="164"/>
        <v>-0.24444444444444446</v>
      </c>
      <c r="Y181" s="143">
        <f t="shared" si="164"/>
        <v>-0.24444444444444446</v>
      </c>
      <c r="Z181" s="143">
        <f t="shared" si="164"/>
        <v>-0.24444444444444446</v>
      </c>
      <c r="AA181" s="143">
        <f t="shared" si="164"/>
        <v>-0.24444444444444446</v>
      </c>
      <c r="AB181" s="143">
        <f t="shared" si="164"/>
        <v>-0.24444444444444446</v>
      </c>
      <c r="AC181" s="143">
        <f t="shared" si="164"/>
        <v>-0.24444444444444446</v>
      </c>
      <c r="AD181" s="143">
        <f t="shared" si="164"/>
        <v>-0.24444444444444446</v>
      </c>
      <c r="AE181" s="146">
        <f t="shared" si="164"/>
        <v>-0.24444444444444446</v>
      </c>
      <c r="AF181" s="143">
        <f t="shared" si="164"/>
        <v>-0.23529411764705876</v>
      </c>
      <c r="AG181" s="143">
        <f t="shared" si="164"/>
        <v>-0.23529411764705876</v>
      </c>
      <c r="AH181" s="143">
        <f t="shared" si="164"/>
        <v>-0.23529411764705876</v>
      </c>
      <c r="AI181" s="143">
        <f t="shared" si="164"/>
        <v>-0.23529411764705876</v>
      </c>
      <c r="AJ181" s="143">
        <f t="shared" si="164"/>
        <v>-0.23529411764705876</v>
      </c>
      <c r="AK181" s="143">
        <f t="shared" si="164"/>
        <v>-0.23529411764705876</v>
      </c>
      <c r="AL181" s="143">
        <f t="shared" si="164"/>
        <v>-0.23529411764705876</v>
      </c>
      <c r="AM181" s="143">
        <f t="shared" si="164"/>
        <v>-0.23529411764705876</v>
      </c>
      <c r="AN181" s="143">
        <f t="shared" si="164"/>
        <v>-0.23529411764705876</v>
      </c>
      <c r="AO181" s="143">
        <f t="shared" si="164"/>
        <v>-0.23529411764705876</v>
      </c>
      <c r="AP181" s="143">
        <f t="shared" si="164"/>
        <v>-0.23529411764705876</v>
      </c>
      <c r="AQ181" s="191">
        <f t="shared" si="164"/>
        <v>-0.23529411764705876</v>
      </c>
    </row>
    <row r="182" spans="2:43" x14ac:dyDescent="0.25">
      <c r="B182" s="190" t="s">
        <v>108</v>
      </c>
      <c r="C182" s="146">
        <f t="shared" si="158"/>
        <v>0.52577065351418018</v>
      </c>
      <c r="D182" s="143">
        <f t="shared" si="158"/>
        <v>0.51322751322751348</v>
      </c>
      <c r="E182" s="143">
        <f t="shared" ref="E182:AQ182" si="165">ROUND(E99,2)/ROUND(E81,2)-1</f>
        <v>0.53061224489795911</v>
      </c>
      <c r="F182" s="143">
        <f t="shared" si="165"/>
        <v>0.53044871794871806</v>
      </c>
      <c r="G182" s="146">
        <f t="shared" si="165"/>
        <v>0.52965847813061706</v>
      </c>
      <c r="H182" s="143">
        <f t="shared" si="165"/>
        <v>0.53086419753086433</v>
      </c>
      <c r="I182" s="143">
        <f t="shared" si="165"/>
        <v>0.47786259541984744</v>
      </c>
      <c r="J182" s="143">
        <f t="shared" si="165"/>
        <v>0.53072625698324027</v>
      </c>
      <c r="K182" s="143">
        <f t="shared" si="165"/>
        <v>0.52927927927927909</v>
      </c>
      <c r="L182" s="143">
        <f t="shared" si="165"/>
        <v>0.52908587257617712</v>
      </c>
      <c r="M182" s="143">
        <f t="shared" si="165"/>
        <v>0.53030303030303028</v>
      </c>
      <c r="N182" s="143">
        <f t="shared" si="165"/>
        <v>0.52702702702702697</v>
      </c>
      <c r="O182" s="143">
        <f t="shared" si="165"/>
        <v>0.53036437246963541</v>
      </c>
      <c r="P182" s="143">
        <f t="shared" si="165"/>
        <v>0.53046594982078843</v>
      </c>
      <c r="Q182" s="143">
        <f t="shared" si="165"/>
        <v>0.52871287128712874</v>
      </c>
      <c r="R182" s="143">
        <f t="shared" si="165"/>
        <v>0.52978056426332287</v>
      </c>
      <c r="S182" s="146">
        <f t="shared" si="165"/>
        <v>0.52982456140350864</v>
      </c>
      <c r="T182" s="143">
        <f t="shared" si="165"/>
        <v>0.51724137931034497</v>
      </c>
      <c r="U182" s="143">
        <f t="shared" si="165"/>
        <v>0.53333333333333321</v>
      </c>
      <c r="V182" s="143">
        <f t="shared" si="165"/>
        <v>0.54347826086956497</v>
      </c>
      <c r="W182" s="143">
        <f t="shared" si="165"/>
        <v>0.5</v>
      </c>
      <c r="X182" s="143">
        <f t="shared" si="165"/>
        <v>0.56521739130434767</v>
      </c>
      <c r="Y182" s="143">
        <f t="shared" si="165"/>
        <v>0.50000000000000022</v>
      </c>
      <c r="Z182" s="143">
        <f t="shared" si="165"/>
        <v>0.5714285714285714</v>
      </c>
      <c r="AA182" s="143">
        <f t="shared" si="165"/>
        <v>0.5</v>
      </c>
      <c r="AB182" s="143">
        <f t="shared" si="165"/>
        <v>0.47368421052631593</v>
      </c>
      <c r="AC182" s="143">
        <f t="shared" si="165"/>
        <v>0.51515151515151514</v>
      </c>
      <c r="AD182" s="143">
        <f t="shared" si="165"/>
        <v>0.51162790697674421</v>
      </c>
      <c r="AE182" s="146">
        <f t="shared" si="165"/>
        <v>0.52727272727272712</v>
      </c>
      <c r="AF182" s="143">
        <f t="shared" si="165"/>
        <v>0.51724137931034497</v>
      </c>
      <c r="AG182" s="143">
        <f t="shared" si="165"/>
        <v>0.53333333333333321</v>
      </c>
      <c r="AH182" s="143">
        <f t="shared" si="165"/>
        <v>0.54347826086956497</v>
      </c>
      <c r="AI182" s="143">
        <f t="shared" si="165"/>
        <v>0.5</v>
      </c>
      <c r="AJ182" s="143">
        <f t="shared" si="165"/>
        <v>0.56521739130434767</v>
      </c>
      <c r="AK182" s="143">
        <f t="shared" si="165"/>
        <v>0.50000000000000022</v>
      </c>
      <c r="AL182" s="143">
        <f t="shared" si="165"/>
        <v>0.5714285714285714</v>
      </c>
      <c r="AM182" s="143">
        <f t="shared" si="165"/>
        <v>0.5</v>
      </c>
      <c r="AN182" s="143">
        <f t="shared" si="165"/>
        <v>0.47368421052631593</v>
      </c>
      <c r="AO182" s="143">
        <f t="shared" si="165"/>
        <v>0.51515151515151514</v>
      </c>
      <c r="AP182" s="143">
        <f t="shared" si="165"/>
        <v>0.51162790697674421</v>
      </c>
      <c r="AQ182" s="191">
        <f t="shared" si="165"/>
        <v>0.52727272727272712</v>
      </c>
    </row>
    <row r="183" spans="2:43" x14ac:dyDescent="0.25">
      <c r="B183" s="190" t="s">
        <v>109</v>
      </c>
      <c r="C183" s="146">
        <f t="shared" si="158"/>
        <v>-0.22851651871510936</v>
      </c>
      <c r="D183" s="143">
        <f t="shared" si="158"/>
        <v>-0.23519571763131486</v>
      </c>
      <c r="E183" s="143">
        <f t="shared" ref="E183:AQ183" si="166">ROUND(E100,2)/ROUND(E82,2)-1</f>
        <v>-0.22649715623954503</v>
      </c>
      <c r="F183" s="143">
        <f t="shared" si="166"/>
        <v>-0.22641509433962259</v>
      </c>
      <c r="G183" s="146">
        <f t="shared" si="166"/>
        <v>-0.22641509433962259</v>
      </c>
      <c r="H183" s="143">
        <f t="shared" si="166"/>
        <v>-0.22644770959377714</v>
      </c>
      <c r="I183" s="143">
        <f t="shared" si="166"/>
        <v>-0.25323475046210719</v>
      </c>
      <c r="J183" s="143">
        <f t="shared" si="166"/>
        <v>-0.22644770959377714</v>
      </c>
      <c r="K183" s="143">
        <f t="shared" si="166"/>
        <v>-0.22678571428571426</v>
      </c>
      <c r="L183" s="143">
        <f t="shared" si="166"/>
        <v>-0.22644770959377714</v>
      </c>
      <c r="M183" s="143">
        <f t="shared" si="166"/>
        <v>-0.22678571428571426</v>
      </c>
      <c r="N183" s="143">
        <f t="shared" si="166"/>
        <v>-0.22644770959377714</v>
      </c>
      <c r="O183" s="143">
        <f t="shared" si="166"/>
        <v>-0.22644770959377714</v>
      </c>
      <c r="P183" s="143">
        <f t="shared" si="166"/>
        <v>-0.22678571428571426</v>
      </c>
      <c r="Q183" s="143">
        <f t="shared" si="166"/>
        <v>-0.22644770959377714</v>
      </c>
      <c r="R183" s="143">
        <f t="shared" si="166"/>
        <v>-0.22678571428571426</v>
      </c>
      <c r="S183" s="146">
        <f t="shared" si="166"/>
        <v>-0.22644770959377714</v>
      </c>
      <c r="T183" s="143">
        <f t="shared" si="166"/>
        <v>-0.22222222222222232</v>
      </c>
      <c r="U183" s="143">
        <f t="shared" si="166"/>
        <v>-0.22222222222222232</v>
      </c>
      <c r="V183" s="143">
        <f t="shared" si="166"/>
        <v>-0.22222222222222232</v>
      </c>
      <c r="W183" s="143">
        <f t="shared" si="166"/>
        <v>-0.22222222222222232</v>
      </c>
      <c r="X183" s="143">
        <f>ROUND(X100,2)/ROUND(X82,2)-1</f>
        <v>-0.22222222222222232</v>
      </c>
      <c r="Y183" s="143">
        <f t="shared" si="166"/>
        <v>-0.22222222222222232</v>
      </c>
      <c r="Z183" s="143">
        <f t="shared" si="166"/>
        <v>-0.22222222222222232</v>
      </c>
      <c r="AA183" s="143">
        <f t="shared" si="166"/>
        <v>-0.22222222222222232</v>
      </c>
      <c r="AB183" s="143">
        <f t="shared" si="166"/>
        <v>-0.22222222222222232</v>
      </c>
      <c r="AC183" s="143">
        <f t="shared" si="166"/>
        <v>-0.22222222222222232</v>
      </c>
      <c r="AD183" s="143">
        <f t="shared" si="166"/>
        <v>-0.22222222222222232</v>
      </c>
      <c r="AE183" s="146">
        <f t="shared" si="166"/>
        <v>-0.22222222222222232</v>
      </c>
      <c r="AF183" s="143">
        <f t="shared" si="166"/>
        <v>-0.23529411764705876</v>
      </c>
      <c r="AG183" s="143">
        <f t="shared" si="166"/>
        <v>-0.23529411764705876</v>
      </c>
      <c r="AH183" s="143">
        <f t="shared" si="166"/>
        <v>-0.23529411764705876</v>
      </c>
      <c r="AI183" s="143">
        <f t="shared" si="166"/>
        <v>-0.23529411764705876</v>
      </c>
      <c r="AJ183" s="143">
        <f t="shared" si="166"/>
        <v>-0.23529411764705876</v>
      </c>
      <c r="AK183" s="143">
        <f t="shared" si="166"/>
        <v>-0.23529411764705876</v>
      </c>
      <c r="AL183" s="143">
        <f t="shared" si="166"/>
        <v>-0.23529411764705876</v>
      </c>
      <c r="AM183" s="143">
        <f t="shared" si="166"/>
        <v>-0.23529411764705876</v>
      </c>
      <c r="AN183" s="143">
        <f t="shared" si="166"/>
        <v>-0.23529411764705876</v>
      </c>
      <c r="AO183" s="143">
        <f t="shared" si="166"/>
        <v>-0.23529411764705876</v>
      </c>
      <c r="AP183" s="143">
        <f t="shared" si="166"/>
        <v>-0.23529411764705876</v>
      </c>
      <c r="AQ183" s="191">
        <f t="shared" si="166"/>
        <v>-0.23529411764705876</v>
      </c>
    </row>
    <row r="184" spans="2:43" x14ac:dyDescent="0.25">
      <c r="B184" s="190" t="s">
        <v>110</v>
      </c>
      <c r="C184" s="146">
        <f t="shared" si="158"/>
        <v>0.11878069118873347</v>
      </c>
      <c r="D184" s="143">
        <f t="shared" si="158"/>
        <v>0.10949920508744038</v>
      </c>
      <c r="E184" s="143">
        <f t="shared" ref="E184:AQ184" si="167">ROUND(E101,2)/ROUND(E83,2)-1</f>
        <v>0.12180579216354337</v>
      </c>
      <c r="F184" s="143">
        <f t="shared" si="167"/>
        <v>0.12154031287605283</v>
      </c>
      <c r="G184" s="146">
        <f t="shared" si="167"/>
        <v>0.12176457348638325</v>
      </c>
      <c r="H184" s="143">
        <f t="shared" si="167"/>
        <v>0.12183811129848232</v>
      </c>
      <c r="I184" s="143">
        <f t="shared" si="167"/>
        <v>8.3094555873925557E-2</v>
      </c>
      <c r="J184" s="143">
        <f t="shared" si="167"/>
        <v>0.12172088142707249</v>
      </c>
      <c r="K184" s="143">
        <f t="shared" si="167"/>
        <v>0.12193056731583396</v>
      </c>
      <c r="L184" s="143">
        <f t="shared" si="167"/>
        <v>0.12187499999999996</v>
      </c>
      <c r="M184" s="143">
        <f t="shared" si="167"/>
        <v>0.12233285917496439</v>
      </c>
      <c r="N184" s="143">
        <f t="shared" si="167"/>
        <v>0.12033898305084745</v>
      </c>
      <c r="O184" s="143">
        <f t="shared" si="167"/>
        <v>0.12158054711246202</v>
      </c>
      <c r="P184" s="143">
        <f t="shared" si="167"/>
        <v>0.12247644683714665</v>
      </c>
      <c r="Q184" s="143">
        <f t="shared" si="167"/>
        <v>0.12202380952380953</v>
      </c>
      <c r="R184" s="143">
        <f t="shared" si="167"/>
        <v>0.12124779281930564</v>
      </c>
      <c r="S184" s="146">
        <f t="shared" si="167"/>
        <v>0.12214411247803159</v>
      </c>
      <c r="T184" s="143">
        <f t="shared" si="167"/>
        <v>0.12418300653594772</v>
      </c>
      <c r="U184" s="143">
        <f t="shared" si="167"/>
        <v>0.12500000000000022</v>
      </c>
      <c r="V184" s="143">
        <f t="shared" si="167"/>
        <v>0.12195121951219501</v>
      </c>
      <c r="W184" s="143">
        <f t="shared" si="167"/>
        <v>0.11392405063291133</v>
      </c>
      <c r="X184" s="143">
        <f t="shared" si="167"/>
        <v>0.11290322580645151</v>
      </c>
      <c r="Y184" s="143">
        <f t="shared" si="167"/>
        <v>0.12765957446808529</v>
      </c>
      <c r="Z184" s="143">
        <f t="shared" si="167"/>
        <v>0.13157894736842102</v>
      </c>
      <c r="AA184" s="143">
        <f t="shared" si="167"/>
        <v>0.14285714285714279</v>
      </c>
      <c r="AB184" s="143">
        <f t="shared" si="167"/>
        <v>0.12000000000000011</v>
      </c>
      <c r="AC184" s="143">
        <f t="shared" si="167"/>
        <v>0.11494252873563227</v>
      </c>
      <c r="AD184" s="143">
        <f t="shared" si="167"/>
        <v>0.12389380530973471</v>
      </c>
      <c r="AE184" s="146">
        <f t="shared" si="167"/>
        <v>0.12244897959183665</v>
      </c>
      <c r="AF184" s="143">
        <f t="shared" si="167"/>
        <v>0.12418300653594772</v>
      </c>
      <c r="AG184" s="143">
        <f t="shared" si="167"/>
        <v>0.12500000000000022</v>
      </c>
      <c r="AH184" s="143">
        <f t="shared" si="167"/>
        <v>0.12195121951219501</v>
      </c>
      <c r="AI184" s="143">
        <f t="shared" si="167"/>
        <v>0.11392405063291133</v>
      </c>
      <c r="AJ184" s="143">
        <f t="shared" si="167"/>
        <v>0.11290322580645151</v>
      </c>
      <c r="AK184" s="143">
        <f t="shared" si="167"/>
        <v>0.12765957446808529</v>
      </c>
      <c r="AL184" s="143">
        <f t="shared" si="167"/>
        <v>0.13157894736842102</v>
      </c>
      <c r="AM184" s="143">
        <f t="shared" si="167"/>
        <v>0.14285714285714279</v>
      </c>
      <c r="AN184" s="143">
        <f t="shared" si="167"/>
        <v>0.12000000000000011</v>
      </c>
      <c r="AO184" s="143">
        <f t="shared" si="167"/>
        <v>0.11494252873563227</v>
      </c>
      <c r="AP184" s="143">
        <f t="shared" si="167"/>
        <v>0.12389380530973471</v>
      </c>
      <c r="AQ184" s="191">
        <f t="shared" si="167"/>
        <v>0.12244897959183665</v>
      </c>
    </row>
    <row r="185" spans="2:43" ht="15.75" thickBot="1" x14ac:dyDescent="0.3">
      <c r="B185" s="192" t="s">
        <v>111</v>
      </c>
      <c r="C185" s="193">
        <f t="shared" si="158"/>
        <v>-1.081388730791133E-2</v>
      </c>
      <c r="D185" s="195">
        <f t="shared" si="158"/>
        <v>-1.8925518925518858E-2</v>
      </c>
      <c r="E185" s="195">
        <f t="shared" ref="E185:AQ185" si="168">ROUND(E102,2)/ROUND(E84,2)-1</f>
        <v>-7.8482668410725376E-3</v>
      </c>
      <c r="F185" s="195">
        <f t="shared" si="168"/>
        <v>-8.3179297597042456E-3</v>
      </c>
      <c r="G185" s="193">
        <f t="shared" si="168"/>
        <v>-8.2958866228827199E-3</v>
      </c>
      <c r="H185" s="195">
        <f t="shared" si="168"/>
        <v>-8.4142394822005473E-3</v>
      </c>
      <c r="I185" s="195">
        <f t="shared" si="168"/>
        <v>-4.2253521126760396E-2</v>
      </c>
      <c r="J185" s="195">
        <f t="shared" si="168"/>
        <v>-8.058017727638922E-3</v>
      </c>
      <c r="K185" s="195">
        <f t="shared" si="168"/>
        <v>-7.8023407022107527E-3</v>
      </c>
      <c r="L185" s="195">
        <f t="shared" si="168"/>
        <v>-8.0000000000000071E-3</v>
      </c>
      <c r="M185" s="195">
        <f t="shared" si="168"/>
        <v>-8.733624454148492E-3</v>
      </c>
      <c r="N185" s="195">
        <f t="shared" si="168"/>
        <v>-7.8125E-3</v>
      </c>
      <c r="O185" s="195">
        <f t="shared" si="168"/>
        <v>-9.3240093240093413E-3</v>
      </c>
      <c r="P185" s="195">
        <f t="shared" si="168"/>
        <v>-8.2644628099173278E-3</v>
      </c>
      <c r="Q185" s="195">
        <f t="shared" si="168"/>
        <v>-8.0000000000000071E-3</v>
      </c>
      <c r="R185" s="195">
        <f t="shared" si="168"/>
        <v>-8.1374321880650635E-3</v>
      </c>
      <c r="S185" s="193">
        <f t="shared" si="168"/>
        <v>-8.0971659919029104E-3</v>
      </c>
      <c r="T185" s="195">
        <f t="shared" si="168"/>
        <v>-1.0000000000000009E-2</v>
      </c>
      <c r="U185" s="195">
        <f t="shared" si="168"/>
        <v>0</v>
      </c>
      <c r="V185" s="195">
        <f t="shared" si="168"/>
        <v>-1.2499999999999956E-2</v>
      </c>
      <c r="W185" s="195">
        <f t="shared" si="168"/>
        <v>0</v>
      </c>
      <c r="X185" s="195">
        <f t="shared" si="168"/>
        <v>0</v>
      </c>
      <c r="Y185" s="195">
        <f t="shared" si="168"/>
        <v>-3.2258064516129115E-2</v>
      </c>
      <c r="Z185" s="195">
        <f t="shared" si="168"/>
        <v>0</v>
      </c>
      <c r="AA185" s="195">
        <f t="shared" si="168"/>
        <v>-3.5714285714285698E-2</v>
      </c>
      <c r="AB185" s="195">
        <f t="shared" si="168"/>
        <v>0</v>
      </c>
      <c r="AC185" s="195">
        <f t="shared" si="168"/>
        <v>0</v>
      </c>
      <c r="AD185" s="195">
        <f t="shared" si="168"/>
        <v>-1.3513513513513487E-2</v>
      </c>
      <c r="AE185" s="193">
        <f t="shared" si="168"/>
        <v>-1.041666666666663E-2</v>
      </c>
      <c r="AF185" s="195">
        <f t="shared" si="168"/>
        <v>-1.0000000000000009E-2</v>
      </c>
      <c r="AG185" s="195">
        <f t="shared" si="168"/>
        <v>0</v>
      </c>
      <c r="AH185" s="195">
        <f t="shared" si="168"/>
        <v>-1.2499999999999956E-2</v>
      </c>
      <c r="AI185" s="195">
        <f t="shared" si="168"/>
        <v>0</v>
      </c>
      <c r="AJ185" s="195">
        <f t="shared" si="168"/>
        <v>0</v>
      </c>
      <c r="AK185" s="195">
        <f t="shared" si="168"/>
        <v>-3.2258064516129115E-2</v>
      </c>
      <c r="AL185" s="195">
        <f t="shared" si="168"/>
        <v>0</v>
      </c>
      <c r="AM185" s="195">
        <f t="shared" si="168"/>
        <v>-3.5714285714285698E-2</v>
      </c>
      <c r="AN185" s="195">
        <f t="shared" si="168"/>
        <v>0</v>
      </c>
      <c r="AO185" s="195">
        <f t="shared" si="168"/>
        <v>0</v>
      </c>
      <c r="AP185" s="195">
        <f t="shared" si="168"/>
        <v>-1.3513513513513487E-2</v>
      </c>
      <c r="AQ185" s="208">
        <f t="shared" si="168"/>
        <v>-1.041666666666663E-2</v>
      </c>
    </row>
    <row r="186" spans="2:43" ht="15.75" thickBot="1" x14ac:dyDescent="0.3"/>
    <row r="187" spans="2:43" ht="15.75" x14ac:dyDescent="0.25">
      <c r="B187" s="373" t="s">
        <v>120</v>
      </c>
      <c r="C187" s="374"/>
      <c r="D187" s="374"/>
      <c r="E187" s="374"/>
      <c r="F187" s="374"/>
      <c r="G187" s="374"/>
      <c r="H187" s="374"/>
      <c r="I187" s="374"/>
      <c r="J187" s="374"/>
      <c r="K187" s="374"/>
      <c r="L187" s="374"/>
      <c r="M187" s="374"/>
      <c r="N187" s="374"/>
      <c r="O187" s="374"/>
      <c r="P187" s="374"/>
      <c r="Q187" s="374"/>
      <c r="R187" s="374"/>
      <c r="S187" s="374"/>
      <c r="T187" s="374"/>
      <c r="U187" s="374"/>
      <c r="V187" s="374"/>
      <c r="W187" s="374"/>
      <c r="X187" s="374"/>
      <c r="Y187" s="374"/>
      <c r="Z187" s="374"/>
      <c r="AA187" s="374"/>
      <c r="AB187" s="374"/>
      <c r="AC187" s="374"/>
      <c r="AD187" s="374"/>
      <c r="AE187" s="374"/>
      <c r="AF187" s="374"/>
      <c r="AG187" s="374"/>
      <c r="AH187" s="374"/>
      <c r="AI187" s="374"/>
      <c r="AJ187" s="374"/>
      <c r="AK187" s="374"/>
      <c r="AL187" s="374"/>
      <c r="AM187" s="374"/>
      <c r="AN187" s="374"/>
      <c r="AO187" s="374"/>
      <c r="AP187" s="374"/>
      <c r="AQ187" s="375"/>
    </row>
    <row r="188" spans="2:43" ht="15" customHeight="1" x14ac:dyDescent="0.25">
      <c r="B188" s="190"/>
      <c r="C188" s="380" t="s">
        <v>123</v>
      </c>
      <c r="D188" s="376" t="s">
        <v>97</v>
      </c>
      <c r="E188" s="377"/>
      <c r="F188" s="377"/>
      <c r="G188" s="378"/>
      <c r="H188" s="376" t="s">
        <v>98</v>
      </c>
      <c r="I188" s="377"/>
      <c r="J188" s="377"/>
      <c r="K188" s="377"/>
      <c r="L188" s="377"/>
      <c r="M188" s="377"/>
      <c r="N188" s="377"/>
      <c r="O188" s="377"/>
      <c r="P188" s="377"/>
      <c r="Q188" s="377"/>
      <c r="R188" s="377"/>
      <c r="S188" s="378"/>
      <c r="T188" s="376" t="s">
        <v>99</v>
      </c>
      <c r="U188" s="377"/>
      <c r="V188" s="377"/>
      <c r="W188" s="377"/>
      <c r="X188" s="377"/>
      <c r="Y188" s="377"/>
      <c r="Z188" s="377"/>
      <c r="AA188" s="377"/>
      <c r="AB188" s="377"/>
      <c r="AC188" s="377"/>
      <c r="AD188" s="377"/>
      <c r="AE188" s="378"/>
      <c r="AF188" s="376" t="s">
        <v>100</v>
      </c>
      <c r="AG188" s="377"/>
      <c r="AH188" s="377"/>
      <c r="AI188" s="377"/>
      <c r="AJ188" s="377"/>
      <c r="AK188" s="377"/>
      <c r="AL188" s="377"/>
      <c r="AM188" s="377"/>
      <c r="AN188" s="377"/>
      <c r="AO188" s="377"/>
      <c r="AP188" s="377"/>
      <c r="AQ188" s="379"/>
    </row>
    <row r="189" spans="2:43" x14ac:dyDescent="0.25">
      <c r="B189" s="189"/>
      <c r="C189" s="381"/>
      <c r="D189" s="331" t="s">
        <v>9</v>
      </c>
      <c r="E189" s="332" t="s">
        <v>10</v>
      </c>
      <c r="F189" s="332" t="s">
        <v>11</v>
      </c>
      <c r="G189" s="333" t="s">
        <v>12</v>
      </c>
      <c r="H189" s="173" t="s">
        <v>35</v>
      </c>
      <c r="I189" s="165" t="s">
        <v>36</v>
      </c>
      <c r="J189" s="165" t="s">
        <v>37</v>
      </c>
      <c r="K189" s="165" t="s">
        <v>38</v>
      </c>
      <c r="L189" s="165" t="s">
        <v>39</v>
      </c>
      <c r="M189" s="165" t="s">
        <v>40</v>
      </c>
      <c r="N189" s="165" t="s">
        <v>41</v>
      </c>
      <c r="O189" s="165" t="s">
        <v>42</v>
      </c>
      <c r="P189" s="165" t="s">
        <v>43</v>
      </c>
      <c r="Q189" s="165" t="s">
        <v>44</v>
      </c>
      <c r="R189" s="165" t="s">
        <v>45</v>
      </c>
      <c r="S189" s="183" t="s">
        <v>46</v>
      </c>
      <c r="T189" s="173" t="s">
        <v>35</v>
      </c>
      <c r="U189" s="165" t="s">
        <v>36</v>
      </c>
      <c r="V189" s="165" t="s">
        <v>37</v>
      </c>
      <c r="W189" s="165" t="s">
        <v>38</v>
      </c>
      <c r="X189" s="165" t="s">
        <v>39</v>
      </c>
      <c r="Y189" s="165" t="s">
        <v>40</v>
      </c>
      <c r="Z189" s="165" t="s">
        <v>41</v>
      </c>
      <c r="AA189" s="165" t="s">
        <v>42</v>
      </c>
      <c r="AB189" s="165" t="s">
        <v>43</v>
      </c>
      <c r="AC189" s="165" t="s">
        <v>44</v>
      </c>
      <c r="AD189" s="165" t="s">
        <v>45</v>
      </c>
      <c r="AE189" s="183" t="s">
        <v>46</v>
      </c>
      <c r="AF189" s="174" t="s">
        <v>35</v>
      </c>
      <c r="AG189" s="165" t="s">
        <v>36</v>
      </c>
      <c r="AH189" s="165" t="s">
        <v>37</v>
      </c>
      <c r="AI189" s="165" t="s">
        <v>38</v>
      </c>
      <c r="AJ189" s="165" t="s">
        <v>39</v>
      </c>
      <c r="AK189" s="165" t="s">
        <v>40</v>
      </c>
      <c r="AL189" s="165" t="s">
        <v>41</v>
      </c>
      <c r="AM189" s="165" t="s">
        <v>42</v>
      </c>
      <c r="AN189" s="165" t="s">
        <v>43</v>
      </c>
      <c r="AO189" s="165" t="s">
        <v>44</v>
      </c>
      <c r="AP189" s="165" t="s">
        <v>45</v>
      </c>
      <c r="AQ189" s="334" t="s">
        <v>46</v>
      </c>
    </row>
    <row r="190" spans="2:43" x14ac:dyDescent="0.25">
      <c r="B190" s="190" t="s">
        <v>101</v>
      </c>
      <c r="C190" s="146">
        <f t="shared" ref="C190:AQ190" si="169">ROUND(C110,2)/ROUND(C92,2)-1</f>
        <v>0</v>
      </c>
      <c r="D190" s="143">
        <f>ROUND(D110,2)/ROUND(D92,2)-1</f>
        <v>0</v>
      </c>
      <c r="E190" s="143">
        <f t="shared" si="169"/>
        <v>0</v>
      </c>
      <c r="F190" s="143">
        <f t="shared" si="169"/>
        <v>0</v>
      </c>
      <c r="G190" s="146">
        <f t="shared" si="169"/>
        <v>0</v>
      </c>
      <c r="H190" s="143">
        <f t="shared" si="169"/>
        <v>0</v>
      </c>
      <c r="I190" s="143">
        <f t="shared" si="169"/>
        <v>0</v>
      </c>
      <c r="J190" s="143">
        <f t="shared" si="169"/>
        <v>0</v>
      </c>
      <c r="K190" s="143">
        <f t="shared" si="169"/>
        <v>0</v>
      </c>
      <c r="L190" s="143">
        <f t="shared" si="169"/>
        <v>0</v>
      </c>
      <c r="M190" s="143">
        <f t="shared" si="169"/>
        <v>0</v>
      </c>
      <c r="N190" s="143">
        <f t="shared" si="169"/>
        <v>0</v>
      </c>
      <c r="O190" s="143">
        <f t="shared" si="169"/>
        <v>0</v>
      </c>
      <c r="P190" s="143">
        <f t="shared" si="169"/>
        <v>0</v>
      </c>
      <c r="Q190" s="143">
        <f t="shared" si="169"/>
        <v>0</v>
      </c>
      <c r="R190" s="143">
        <f t="shared" si="169"/>
        <v>0</v>
      </c>
      <c r="S190" s="146">
        <f t="shared" si="169"/>
        <v>0</v>
      </c>
      <c r="T190" s="143">
        <f t="shared" si="169"/>
        <v>0</v>
      </c>
      <c r="U190" s="143">
        <f t="shared" si="169"/>
        <v>0</v>
      </c>
      <c r="V190" s="143">
        <f t="shared" si="169"/>
        <v>0</v>
      </c>
      <c r="W190" s="143">
        <f t="shared" si="169"/>
        <v>0</v>
      </c>
      <c r="X190" s="143">
        <f t="shared" si="169"/>
        <v>0</v>
      </c>
      <c r="Y190" s="143">
        <f t="shared" si="169"/>
        <v>0</v>
      </c>
      <c r="Z190" s="143">
        <f t="shared" si="169"/>
        <v>0</v>
      </c>
      <c r="AA190" s="143">
        <f t="shared" si="169"/>
        <v>0</v>
      </c>
      <c r="AB190" s="143">
        <f t="shared" si="169"/>
        <v>0</v>
      </c>
      <c r="AC190" s="143">
        <f t="shared" si="169"/>
        <v>0</v>
      </c>
      <c r="AD190" s="143">
        <f t="shared" si="169"/>
        <v>0</v>
      </c>
      <c r="AE190" s="146">
        <f t="shared" si="169"/>
        <v>0</v>
      </c>
      <c r="AF190" s="143">
        <f t="shared" si="169"/>
        <v>0</v>
      </c>
      <c r="AG190" s="143">
        <f t="shared" si="169"/>
        <v>0</v>
      </c>
      <c r="AH190" s="143">
        <f t="shared" si="169"/>
        <v>0</v>
      </c>
      <c r="AI190" s="143">
        <f t="shared" si="169"/>
        <v>0</v>
      </c>
      <c r="AJ190" s="143">
        <f t="shared" si="169"/>
        <v>0</v>
      </c>
      <c r="AK190" s="143">
        <f t="shared" si="169"/>
        <v>0</v>
      </c>
      <c r="AL190" s="143">
        <f t="shared" si="169"/>
        <v>0</v>
      </c>
      <c r="AM190" s="143">
        <f t="shared" si="169"/>
        <v>0</v>
      </c>
      <c r="AN190" s="143">
        <f t="shared" si="169"/>
        <v>0</v>
      </c>
      <c r="AO190" s="143">
        <f t="shared" si="169"/>
        <v>0</v>
      </c>
      <c r="AP190" s="143">
        <f t="shared" si="169"/>
        <v>0</v>
      </c>
      <c r="AQ190" s="191">
        <f t="shared" si="169"/>
        <v>0</v>
      </c>
    </row>
    <row r="191" spans="2:43" x14ac:dyDescent="0.25">
      <c r="B191" s="213" t="s">
        <v>102</v>
      </c>
      <c r="C191" s="146">
        <f t="shared" ref="C191:C200" si="170">ROUND(C111,2)/ROUND(C93,2)-1</f>
        <v>-1</v>
      </c>
      <c r="D191" s="143">
        <f>ROUND(D111,2)/ROUND(D93,2)-1</f>
        <v>-1</v>
      </c>
      <c r="E191" s="143">
        <f t="shared" ref="E191:AQ191" si="171">ROUND(E111,2)/ROUND(E93,2)-1</f>
        <v>-1</v>
      </c>
      <c r="F191" s="143">
        <f t="shared" si="171"/>
        <v>-1</v>
      </c>
      <c r="G191" s="146">
        <f t="shared" si="171"/>
        <v>-1</v>
      </c>
      <c r="H191" s="143">
        <f t="shared" si="171"/>
        <v>-1</v>
      </c>
      <c r="I191" s="143">
        <f t="shared" si="171"/>
        <v>-1</v>
      </c>
      <c r="J191" s="143">
        <f t="shared" si="171"/>
        <v>-1</v>
      </c>
      <c r="K191" s="143">
        <f t="shared" si="171"/>
        <v>-1</v>
      </c>
      <c r="L191" s="143">
        <f t="shared" si="171"/>
        <v>-1</v>
      </c>
      <c r="M191" s="143">
        <f t="shared" si="171"/>
        <v>-1</v>
      </c>
      <c r="N191" s="143">
        <f t="shared" si="171"/>
        <v>-1</v>
      </c>
      <c r="O191" s="143">
        <f t="shared" si="171"/>
        <v>-1</v>
      </c>
      <c r="P191" s="143">
        <f t="shared" si="171"/>
        <v>-1</v>
      </c>
      <c r="Q191" s="143">
        <f t="shared" si="171"/>
        <v>-1</v>
      </c>
      <c r="R191" s="143">
        <f t="shared" si="171"/>
        <v>-1</v>
      </c>
      <c r="S191" s="146">
        <f t="shared" si="171"/>
        <v>-1</v>
      </c>
      <c r="T191" s="143">
        <f t="shared" si="171"/>
        <v>-1</v>
      </c>
      <c r="U191" s="143">
        <f t="shared" si="171"/>
        <v>-1</v>
      </c>
      <c r="V191" s="143">
        <f t="shared" si="171"/>
        <v>-1</v>
      </c>
      <c r="W191" s="143">
        <f t="shared" si="171"/>
        <v>-1</v>
      </c>
      <c r="X191" s="143">
        <f t="shared" si="171"/>
        <v>-1</v>
      </c>
      <c r="Y191" s="143">
        <f t="shared" si="171"/>
        <v>-1</v>
      </c>
      <c r="Z191" s="143">
        <f t="shared" si="171"/>
        <v>-1</v>
      </c>
      <c r="AA191" s="143">
        <f t="shared" si="171"/>
        <v>-1</v>
      </c>
      <c r="AB191" s="143">
        <f t="shared" si="171"/>
        <v>-1</v>
      </c>
      <c r="AC191" s="143">
        <f t="shared" si="171"/>
        <v>-1</v>
      </c>
      <c r="AD191" s="143">
        <f t="shared" si="171"/>
        <v>-1</v>
      </c>
      <c r="AE191" s="146">
        <f t="shared" si="171"/>
        <v>-1</v>
      </c>
      <c r="AF191" s="143">
        <f t="shared" si="171"/>
        <v>-1</v>
      </c>
      <c r="AG191" s="143">
        <f t="shared" si="171"/>
        <v>-1</v>
      </c>
      <c r="AH191" s="143">
        <f t="shared" si="171"/>
        <v>-1</v>
      </c>
      <c r="AI191" s="143">
        <f t="shared" si="171"/>
        <v>-1</v>
      </c>
      <c r="AJ191" s="143">
        <f t="shared" si="171"/>
        <v>-1</v>
      </c>
      <c r="AK191" s="143">
        <f t="shared" si="171"/>
        <v>-1</v>
      </c>
      <c r="AL191" s="143">
        <f t="shared" si="171"/>
        <v>-1</v>
      </c>
      <c r="AM191" s="143">
        <f t="shared" si="171"/>
        <v>-1</v>
      </c>
      <c r="AN191" s="143">
        <f t="shared" si="171"/>
        <v>-1</v>
      </c>
      <c r="AO191" s="143">
        <f t="shared" si="171"/>
        <v>-1</v>
      </c>
      <c r="AP191" s="143">
        <f t="shared" si="171"/>
        <v>-1</v>
      </c>
      <c r="AQ191" s="191">
        <f t="shared" si="171"/>
        <v>-1</v>
      </c>
    </row>
    <row r="192" spans="2:43" x14ac:dyDescent="0.25">
      <c r="B192" s="190" t="s">
        <v>103</v>
      </c>
      <c r="C192" s="146">
        <f t="shared" si="170"/>
        <v>2.9702447163515018</v>
      </c>
      <c r="D192" s="143">
        <f t="shared" ref="D192:AQ192" si="172">ROUND(D112,2)/ROUND(D94,2)-1</f>
        <v>2.971282051282051</v>
      </c>
      <c r="E192" s="143">
        <f t="shared" si="172"/>
        <v>2.9705882352941178</v>
      </c>
      <c r="F192" s="143">
        <f t="shared" si="172"/>
        <v>2.9699097291875622</v>
      </c>
      <c r="G192" s="146">
        <f t="shared" si="172"/>
        <v>2.9699097291875622</v>
      </c>
      <c r="H192" s="143">
        <f t="shared" si="172"/>
        <v>2.9685863874345553</v>
      </c>
      <c r="I192" s="143">
        <f t="shared" si="172"/>
        <v>2.9681159420289851</v>
      </c>
      <c r="J192" s="143">
        <f t="shared" si="172"/>
        <v>2.9685863874345553</v>
      </c>
      <c r="K192" s="143">
        <f t="shared" si="172"/>
        <v>2.975609756097561</v>
      </c>
      <c r="L192" s="143">
        <f t="shared" si="172"/>
        <v>2.9685863874345553</v>
      </c>
      <c r="M192" s="143">
        <f t="shared" si="172"/>
        <v>2.975609756097561</v>
      </c>
      <c r="N192" s="143">
        <f t="shared" si="172"/>
        <v>2.9685863874345553</v>
      </c>
      <c r="O192" s="143">
        <f t="shared" si="172"/>
        <v>2.9685863874345553</v>
      </c>
      <c r="P192" s="143">
        <f t="shared" si="172"/>
        <v>2.975609756097561</v>
      </c>
      <c r="Q192" s="143">
        <f t="shared" si="172"/>
        <v>2.9685863874345553</v>
      </c>
      <c r="R192" s="143">
        <f t="shared" si="172"/>
        <v>2.975609756097561</v>
      </c>
      <c r="S192" s="146">
        <f t="shared" si="172"/>
        <v>2.9685863874345553</v>
      </c>
      <c r="T192" s="143">
        <f t="shared" si="172"/>
        <v>2.9333333333333331</v>
      </c>
      <c r="U192" s="143">
        <f t="shared" si="172"/>
        <v>2.9333333333333331</v>
      </c>
      <c r="V192" s="143">
        <f t="shared" si="172"/>
        <v>2.9333333333333331</v>
      </c>
      <c r="W192" s="143">
        <f t="shared" si="172"/>
        <v>2.9333333333333331</v>
      </c>
      <c r="X192" s="143">
        <f t="shared" si="172"/>
        <v>2.9333333333333331</v>
      </c>
      <c r="Y192" s="143">
        <f t="shared" si="172"/>
        <v>2.9333333333333331</v>
      </c>
      <c r="Z192" s="143">
        <f t="shared" si="172"/>
        <v>2.9333333333333331</v>
      </c>
      <c r="AA192" s="143">
        <f t="shared" si="172"/>
        <v>2.9333333333333331</v>
      </c>
      <c r="AB192" s="143">
        <f t="shared" si="172"/>
        <v>2.9333333333333331</v>
      </c>
      <c r="AC192" s="143">
        <f t="shared" si="172"/>
        <v>2.9333333333333331</v>
      </c>
      <c r="AD192" s="143">
        <f t="shared" si="172"/>
        <v>2.9333333333333331</v>
      </c>
      <c r="AE192" s="146">
        <f t="shared" si="172"/>
        <v>2.9333333333333331</v>
      </c>
      <c r="AF192" s="143">
        <f t="shared" si="172"/>
        <v>2.8823529411764706</v>
      </c>
      <c r="AG192" s="143">
        <f t="shared" si="172"/>
        <v>2.8823529411764706</v>
      </c>
      <c r="AH192" s="143">
        <f t="shared" si="172"/>
        <v>2.8823529411764706</v>
      </c>
      <c r="AI192" s="143">
        <f t="shared" si="172"/>
        <v>2.8823529411764706</v>
      </c>
      <c r="AJ192" s="143">
        <f t="shared" si="172"/>
        <v>2.8823529411764706</v>
      </c>
      <c r="AK192" s="143">
        <f t="shared" si="172"/>
        <v>2.8823529411764706</v>
      </c>
      <c r="AL192" s="143">
        <f t="shared" si="172"/>
        <v>2.8823529411764706</v>
      </c>
      <c r="AM192" s="143">
        <f t="shared" si="172"/>
        <v>2.8823529411764706</v>
      </c>
      <c r="AN192" s="143">
        <f t="shared" si="172"/>
        <v>2.8823529411764706</v>
      </c>
      <c r="AO192" s="143">
        <f t="shared" si="172"/>
        <v>2.8823529411764706</v>
      </c>
      <c r="AP192" s="143">
        <f t="shared" si="172"/>
        <v>2.8823529411764706</v>
      </c>
      <c r="AQ192" s="191">
        <f t="shared" si="172"/>
        <v>2.8823529411764706</v>
      </c>
    </row>
    <row r="193" spans="2:43" x14ac:dyDescent="0.25">
      <c r="B193" s="190" t="s">
        <v>104</v>
      </c>
      <c r="C193" s="146">
        <f t="shared" si="170"/>
        <v>0</v>
      </c>
      <c r="D193" s="143">
        <f t="shared" ref="D193:AQ193" si="173">ROUND(D113,2)/ROUND(D95,2)-1</f>
        <v>0</v>
      </c>
      <c r="E193" s="143">
        <f t="shared" si="173"/>
        <v>0</v>
      </c>
      <c r="F193" s="143">
        <f t="shared" si="173"/>
        <v>0</v>
      </c>
      <c r="G193" s="146">
        <f t="shared" si="173"/>
        <v>0</v>
      </c>
      <c r="H193" s="143">
        <f t="shared" si="173"/>
        <v>0</v>
      </c>
      <c r="I193" s="143">
        <f t="shared" si="173"/>
        <v>0</v>
      </c>
      <c r="J193" s="143">
        <f t="shared" si="173"/>
        <v>0</v>
      </c>
      <c r="K193" s="143">
        <f t="shared" si="173"/>
        <v>0</v>
      </c>
      <c r="L193" s="143">
        <f t="shared" si="173"/>
        <v>0</v>
      </c>
      <c r="M193" s="143">
        <f t="shared" si="173"/>
        <v>0</v>
      </c>
      <c r="N193" s="143">
        <f t="shared" si="173"/>
        <v>0</v>
      </c>
      <c r="O193" s="143">
        <f t="shared" si="173"/>
        <v>0</v>
      </c>
      <c r="P193" s="143">
        <f t="shared" si="173"/>
        <v>0</v>
      </c>
      <c r="Q193" s="143">
        <f t="shared" si="173"/>
        <v>0</v>
      </c>
      <c r="R193" s="143">
        <f t="shared" si="173"/>
        <v>0</v>
      </c>
      <c r="S193" s="146">
        <f t="shared" si="173"/>
        <v>0</v>
      </c>
      <c r="T193" s="143">
        <f t="shared" si="173"/>
        <v>0</v>
      </c>
      <c r="U193" s="143">
        <f t="shared" si="173"/>
        <v>0</v>
      </c>
      <c r="V193" s="143">
        <f t="shared" si="173"/>
        <v>0</v>
      </c>
      <c r="W193" s="143">
        <f t="shared" si="173"/>
        <v>0</v>
      </c>
      <c r="X193" s="143">
        <f t="shared" si="173"/>
        <v>0</v>
      </c>
      <c r="Y193" s="143">
        <f t="shared" si="173"/>
        <v>0</v>
      </c>
      <c r="Z193" s="143">
        <f t="shared" si="173"/>
        <v>0</v>
      </c>
      <c r="AA193" s="143">
        <f t="shared" si="173"/>
        <v>0</v>
      </c>
      <c r="AB193" s="143">
        <f t="shared" si="173"/>
        <v>0</v>
      </c>
      <c r="AC193" s="143">
        <f t="shared" si="173"/>
        <v>0</v>
      </c>
      <c r="AD193" s="143">
        <f t="shared" si="173"/>
        <v>0</v>
      </c>
      <c r="AE193" s="146">
        <f t="shared" si="173"/>
        <v>0</v>
      </c>
      <c r="AF193" s="143">
        <f t="shared" si="173"/>
        <v>0</v>
      </c>
      <c r="AG193" s="143">
        <f t="shared" si="173"/>
        <v>0</v>
      </c>
      <c r="AH193" s="143">
        <f t="shared" si="173"/>
        <v>0</v>
      </c>
      <c r="AI193" s="143">
        <f t="shared" si="173"/>
        <v>0</v>
      </c>
      <c r="AJ193" s="143">
        <f t="shared" si="173"/>
        <v>0</v>
      </c>
      <c r="AK193" s="143">
        <f t="shared" si="173"/>
        <v>0</v>
      </c>
      <c r="AL193" s="143">
        <f t="shared" si="173"/>
        <v>0</v>
      </c>
      <c r="AM193" s="143">
        <f t="shared" si="173"/>
        <v>0</v>
      </c>
      <c r="AN193" s="143">
        <f t="shared" si="173"/>
        <v>0</v>
      </c>
      <c r="AO193" s="143">
        <f t="shared" si="173"/>
        <v>0</v>
      </c>
      <c r="AP193" s="143">
        <f t="shared" si="173"/>
        <v>0</v>
      </c>
      <c r="AQ193" s="191">
        <f t="shared" si="173"/>
        <v>0</v>
      </c>
    </row>
    <row r="194" spans="2:43" x14ac:dyDescent="0.25">
      <c r="B194" s="190" t="s">
        <v>105</v>
      </c>
      <c r="C194" s="146">
        <f t="shared" si="170"/>
        <v>0</v>
      </c>
      <c r="D194" s="143">
        <f t="shared" ref="D194:AQ194" si="174">ROUND(D114,2)/ROUND(D96,2)-1</f>
        <v>0</v>
      </c>
      <c r="E194" s="143">
        <f t="shared" si="174"/>
        <v>0</v>
      </c>
      <c r="F194" s="143">
        <f t="shared" si="174"/>
        <v>0</v>
      </c>
      <c r="G194" s="146">
        <f t="shared" si="174"/>
        <v>0</v>
      </c>
      <c r="H194" s="143">
        <f t="shared" si="174"/>
        <v>0</v>
      </c>
      <c r="I194" s="143">
        <f t="shared" si="174"/>
        <v>0</v>
      </c>
      <c r="J194" s="143">
        <f t="shared" si="174"/>
        <v>0</v>
      </c>
      <c r="K194" s="143">
        <f t="shared" si="174"/>
        <v>0</v>
      </c>
      <c r="L194" s="143">
        <f t="shared" si="174"/>
        <v>0</v>
      </c>
      <c r="M194" s="143">
        <f t="shared" si="174"/>
        <v>0</v>
      </c>
      <c r="N194" s="143">
        <f t="shared" si="174"/>
        <v>0</v>
      </c>
      <c r="O194" s="143">
        <f t="shared" si="174"/>
        <v>0</v>
      </c>
      <c r="P194" s="143">
        <f t="shared" si="174"/>
        <v>0</v>
      </c>
      <c r="Q194" s="143">
        <f t="shared" si="174"/>
        <v>0</v>
      </c>
      <c r="R194" s="143">
        <f t="shared" si="174"/>
        <v>0</v>
      </c>
      <c r="S194" s="146">
        <f t="shared" si="174"/>
        <v>0</v>
      </c>
      <c r="T194" s="143">
        <f t="shared" si="174"/>
        <v>0</v>
      </c>
      <c r="U194" s="143">
        <f t="shared" si="174"/>
        <v>0</v>
      </c>
      <c r="V194" s="143">
        <f t="shared" si="174"/>
        <v>0</v>
      </c>
      <c r="W194" s="143">
        <f t="shared" si="174"/>
        <v>0</v>
      </c>
      <c r="X194" s="143">
        <f t="shared" si="174"/>
        <v>0</v>
      </c>
      <c r="Y194" s="143">
        <f t="shared" si="174"/>
        <v>0</v>
      </c>
      <c r="Z194" s="143">
        <f t="shared" si="174"/>
        <v>0</v>
      </c>
      <c r="AA194" s="143">
        <f t="shared" si="174"/>
        <v>0</v>
      </c>
      <c r="AB194" s="143">
        <f t="shared" si="174"/>
        <v>0</v>
      </c>
      <c r="AC194" s="143">
        <f t="shared" si="174"/>
        <v>0</v>
      </c>
      <c r="AD194" s="143">
        <f t="shared" si="174"/>
        <v>0</v>
      </c>
      <c r="AE194" s="146">
        <f t="shared" si="174"/>
        <v>0</v>
      </c>
      <c r="AF194" s="143">
        <f t="shared" si="174"/>
        <v>0</v>
      </c>
      <c r="AG194" s="143">
        <f t="shared" si="174"/>
        <v>0</v>
      </c>
      <c r="AH194" s="143">
        <f t="shared" si="174"/>
        <v>0</v>
      </c>
      <c r="AI194" s="143">
        <f t="shared" si="174"/>
        <v>0</v>
      </c>
      <c r="AJ194" s="143">
        <f t="shared" si="174"/>
        <v>0</v>
      </c>
      <c r="AK194" s="143">
        <f t="shared" si="174"/>
        <v>0</v>
      </c>
      <c r="AL194" s="143">
        <f t="shared" si="174"/>
        <v>0</v>
      </c>
      <c r="AM194" s="143">
        <f t="shared" si="174"/>
        <v>0</v>
      </c>
      <c r="AN194" s="143">
        <f t="shared" si="174"/>
        <v>0</v>
      </c>
      <c r="AO194" s="143">
        <f t="shared" si="174"/>
        <v>0</v>
      </c>
      <c r="AP194" s="143">
        <f t="shared" si="174"/>
        <v>0</v>
      </c>
      <c r="AQ194" s="191">
        <f t="shared" si="174"/>
        <v>0</v>
      </c>
    </row>
    <row r="195" spans="2:43" x14ac:dyDescent="0.25">
      <c r="B195" s="190" t="s">
        <v>106</v>
      </c>
      <c r="C195" s="146">
        <f t="shared" si="170"/>
        <v>0</v>
      </c>
      <c r="D195" s="143">
        <f t="shared" ref="D195:AQ195" si="175">ROUND(D115,2)/ROUND(D97,2)-1</f>
        <v>0</v>
      </c>
      <c r="E195" s="143">
        <f t="shared" si="175"/>
        <v>0</v>
      </c>
      <c r="F195" s="143">
        <f t="shared" si="175"/>
        <v>0</v>
      </c>
      <c r="G195" s="146">
        <f t="shared" si="175"/>
        <v>0</v>
      </c>
      <c r="H195" s="143">
        <f t="shared" si="175"/>
        <v>0</v>
      </c>
      <c r="I195" s="143">
        <f t="shared" si="175"/>
        <v>0</v>
      </c>
      <c r="J195" s="143">
        <f t="shared" si="175"/>
        <v>0</v>
      </c>
      <c r="K195" s="143">
        <f t="shared" si="175"/>
        <v>0</v>
      </c>
      <c r="L195" s="143">
        <f t="shared" si="175"/>
        <v>0</v>
      </c>
      <c r="M195" s="143">
        <f t="shared" si="175"/>
        <v>0</v>
      </c>
      <c r="N195" s="143">
        <f t="shared" si="175"/>
        <v>0</v>
      </c>
      <c r="O195" s="143">
        <f t="shared" si="175"/>
        <v>0</v>
      </c>
      <c r="P195" s="143">
        <f t="shared" si="175"/>
        <v>0</v>
      </c>
      <c r="Q195" s="143">
        <f t="shared" si="175"/>
        <v>0</v>
      </c>
      <c r="R195" s="143">
        <f t="shared" si="175"/>
        <v>0</v>
      </c>
      <c r="S195" s="146">
        <f t="shared" si="175"/>
        <v>0</v>
      </c>
      <c r="T195" s="143">
        <f t="shared" si="175"/>
        <v>0</v>
      </c>
      <c r="U195" s="143">
        <f t="shared" si="175"/>
        <v>0</v>
      </c>
      <c r="V195" s="143">
        <f t="shared" si="175"/>
        <v>0</v>
      </c>
      <c r="W195" s="143">
        <f t="shared" si="175"/>
        <v>0</v>
      </c>
      <c r="X195" s="143">
        <f t="shared" si="175"/>
        <v>0</v>
      </c>
      <c r="Y195" s="143">
        <f t="shared" si="175"/>
        <v>0</v>
      </c>
      <c r="Z195" s="143">
        <f t="shared" si="175"/>
        <v>0</v>
      </c>
      <c r="AA195" s="143">
        <f t="shared" si="175"/>
        <v>0</v>
      </c>
      <c r="AB195" s="143">
        <f t="shared" si="175"/>
        <v>0</v>
      </c>
      <c r="AC195" s="143">
        <f t="shared" si="175"/>
        <v>0</v>
      </c>
      <c r="AD195" s="143">
        <f t="shared" si="175"/>
        <v>0</v>
      </c>
      <c r="AE195" s="146">
        <f t="shared" si="175"/>
        <v>0</v>
      </c>
      <c r="AF195" s="143">
        <f t="shared" si="175"/>
        <v>0</v>
      </c>
      <c r="AG195" s="143">
        <f t="shared" si="175"/>
        <v>0</v>
      </c>
      <c r="AH195" s="143">
        <f t="shared" si="175"/>
        <v>0</v>
      </c>
      <c r="AI195" s="143">
        <f t="shared" si="175"/>
        <v>0</v>
      </c>
      <c r="AJ195" s="143">
        <f t="shared" si="175"/>
        <v>0</v>
      </c>
      <c r="AK195" s="143">
        <f t="shared" si="175"/>
        <v>0</v>
      </c>
      <c r="AL195" s="143">
        <f t="shared" si="175"/>
        <v>0</v>
      </c>
      <c r="AM195" s="143">
        <f t="shared" si="175"/>
        <v>0</v>
      </c>
      <c r="AN195" s="143">
        <f t="shared" si="175"/>
        <v>0</v>
      </c>
      <c r="AO195" s="143">
        <f t="shared" si="175"/>
        <v>0</v>
      </c>
      <c r="AP195" s="143">
        <f t="shared" si="175"/>
        <v>0</v>
      </c>
      <c r="AQ195" s="191">
        <f t="shared" si="175"/>
        <v>0</v>
      </c>
    </row>
    <row r="196" spans="2:43" x14ac:dyDescent="0.25">
      <c r="B196" s="190" t="s">
        <v>107</v>
      </c>
      <c r="C196" s="146">
        <f>ROUND(C116,2)/ROUND(C98,2)-1</f>
        <v>1.0182680901542112</v>
      </c>
      <c r="D196" s="143">
        <f t="shared" ref="D196:AQ196" si="176">ROUND(D116,2)/ROUND(D98,2)-1</f>
        <v>1.0188101487314087</v>
      </c>
      <c r="E196" s="143">
        <f t="shared" si="176"/>
        <v>1.0181660899653977</v>
      </c>
      <c r="F196" s="143">
        <f t="shared" si="176"/>
        <v>1.0183996576807872</v>
      </c>
      <c r="G196" s="146">
        <f t="shared" si="176"/>
        <v>1.0183996576807872</v>
      </c>
      <c r="H196" s="143">
        <f t="shared" si="176"/>
        <v>1.017877094972067</v>
      </c>
      <c r="I196" s="143">
        <f t="shared" si="176"/>
        <v>1.0185643564356432</v>
      </c>
      <c r="J196" s="143">
        <f t="shared" si="176"/>
        <v>1.017877094972067</v>
      </c>
      <c r="K196" s="143">
        <f t="shared" si="176"/>
        <v>1.0184757505773674</v>
      </c>
      <c r="L196" s="143">
        <f t="shared" si="176"/>
        <v>1.017877094972067</v>
      </c>
      <c r="M196" s="143">
        <f t="shared" si="176"/>
        <v>1.0184757505773674</v>
      </c>
      <c r="N196" s="143">
        <f t="shared" si="176"/>
        <v>1.017877094972067</v>
      </c>
      <c r="O196" s="143">
        <f t="shared" si="176"/>
        <v>1.017877094972067</v>
      </c>
      <c r="P196" s="143">
        <f t="shared" si="176"/>
        <v>1.0184757505773674</v>
      </c>
      <c r="Q196" s="143">
        <f t="shared" si="176"/>
        <v>1.017877094972067</v>
      </c>
      <c r="R196" s="143">
        <f t="shared" si="176"/>
        <v>1.0184757505773674</v>
      </c>
      <c r="S196" s="146">
        <f t="shared" si="176"/>
        <v>1.017877094972067</v>
      </c>
      <c r="T196" s="143">
        <f t="shared" si="176"/>
        <v>1.0882352941176467</v>
      </c>
      <c r="U196" s="143">
        <f t="shared" si="176"/>
        <v>1.0882352941176467</v>
      </c>
      <c r="V196" s="143">
        <f t="shared" si="176"/>
        <v>1.0882352941176467</v>
      </c>
      <c r="W196" s="143">
        <f t="shared" si="176"/>
        <v>1.0882352941176467</v>
      </c>
      <c r="X196" s="143">
        <f t="shared" si="176"/>
        <v>1.0882352941176467</v>
      </c>
      <c r="Y196" s="143">
        <f t="shared" si="176"/>
        <v>1.0882352941176467</v>
      </c>
      <c r="Z196" s="143">
        <f t="shared" si="176"/>
        <v>1.0882352941176467</v>
      </c>
      <c r="AA196" s="143">
        <f t="shared" si="176"/>
        <v>1.0882352941176467</v>
      </c>
      <c r="AB196" s="143">
        <f t="shared" si="176"/>
        <v>1.0882352941176467</v>
      </c>
      <c r="AC196" s="143">
        <f t="shared" si="176"/>
        <v>1.0882352941176467</v>
      </c>
      <c r="AD196" s="143">
        <f t="shared" si="176"/>
        <v>1.0882352941176467</v>
      </c>
      <c r="AE196" s="146">
        <f t="shared" si="176"/>
        <v>1.0882352941176467</v>
      </c>
      <c r="AF196" s="143">
        <f t="shared" si="176"/>
        <v>1</v>
      </c>
      <c r="AG196" s="143">
        <f t="shared" si="176"/>
        <v>1</v>
      </c>
      <c r="AH196" s="143">
        <f t="shared" si="176"/>
        <v>1</v>
      </c>
      <c r="AI196" s="143">
        <f t="shared" si="176"/>
        <v>1</v>
      </c>
      <c r="AJ196" s="143">
        <f t="shared" si="176"/>
        <v>1</v>
      </c>
      <c r="AK196" s="143">
        <f t="shared" si="176"/>
        <v>1</v>
      </c>
      <c r="AL196" s="143">
        <f t="shared" si="176"/>
        <v>1</v>
      </c>
      <c r="AM196" s="143">
        <f t="shared" si="176"/>
        <v>1</v>
      </c>
      <c r="AN196" s="143">
        <f t="shared" si="176"/>
        <v>1</v>
      </c>
      <c r="AO196" s="143">
        <f t="shared" si="176"/>
        <v>1</v>
      </c>
      <c r="AP196" s="143">
        <f t="shared" si="176"/>
        <v>1</v>
      </c>
      <c r="AQ196" s="191">
        <f t="shared" si="176"/>
        <v>1</v>
      </c>
    </row>
    <row r="197" spans="2:43" x14ac:dyDescent="0.25">
      <c r="B197" s="190" t="s">
        <v>108</v>
      </c>
      <c r="C197" s="146">
        <f t="shared" si="170"/>
        <v>1.749959592694359</v>
      </c>
      <c r="D197" s="143">
        <f t="shared" ref="D197:AQ197" si="177">ROUND(D117,2)/ROUND(D99,2)-1</f>
        <v>1.7136363636363634</v>
      </c>
      <c r="E197" s="143">
        <f t="shared" si="177"/>
        <v>1.7888888888888888</v>
      </c>
      <c r="F197" s="143">
        <f t="shared" si="177"/>
        <v>1.6942408376963347</v>
      </c>
      <c r="G197" s="146">
        <f t="shared" si="177"/>
        <v>1.792401096748923</v>
      </c>
      <c r="H197" s="143">
        <f t="shared" si="177"/>
        <v>1.669354838709677</v>
      </c>
      <c r="I197" s="143">
        <f t="shared" si="177"/>
        <v>1.6497933884297522</v>
      </c>
      <c r="J197" s="143">
        <f t="shared" si="177"/>
        <v>1.8877737226277369</v>
      </c>
      <c r="K197" s="143">
        <f t="shared" si="177"/>
        <v>1.8733431516936672</v>
      </c>
      <c r="L197" s="143">
        <f t="shared" si="177"/>
        <v>1.5923913043478262</v>
      </c>
      <c r="M197" s="143">
        <f t="shared" si="177"/>
        <v>1.9084158415841586</v>
      </c>
      <c r="N197" s="143">
        <f t="shared" si="177"/>
        <v>1.9410029498525074</v>
      </c>
      <c r="O197" s="143">
        <f t="shared" si="177"/>
        <v>1.8677248677248679</v>
      </c>
      <c r="P197" s="143">
        <f t="shared" si="177"/>
        <v>1.3091334894613582</v>
      </c>
      <c r="Q197" s="143">
        <f t="shared" si="177"/>
        <v>1.6386010362694301</v>
      </c>
      <c r="R197" s="143">
        <f t="shared" si="177"/>
        <v>1.7940573770491803</v>
      </c>
      <c r="S197" s="146">
        <f t="shared" si="177"/>
        <v>1.8830275229357798</v>
      </c>
      <c r="T197" s="143">
        <f t="shared" si="177"/>
        <v>1.6704545454545454</v>
      </c>
      <c r="U197" s="143">
        <f t="shared" si="177"/>
        <v>1.6521739130434785</v>
      </c>
      <c r="V197" s="143">
        <f t="shared" si="177"/>
        <v>1.8732394366197185</v>
      </c>
      <c r="W197" s="143">
        <f t="shared" si="177"/>
        <v>1.8888888888888888</v>
      </c>
      <c r="X197" s="143">
        <f t="shared" si="177"/>
        <v>1.5555555555555558</v>
      </c>
      <c r="Y197" s="143">
        <f t="shared" si="177"/>
        <v>1.8888888888888888</v>
      </c>
      <c r="Z197" s="143">
        <f t="shared" si="177"/>
        <v>1.9090909090909092</v>
      </c>
      <c r="AA197" s="143">
        <f t="shared" si="177"/>
        <v>1.9166666666666665</v>
      </c>
      <c r="AB197" s="143">
        <f t="shared" si="177"/>
        <v>1.3571428571428572</v>
      </c>
      <c r="AC197" s="143">
        <f t="shared" si="177"/>
        <v>1.62</v>
      </c>
      <c r="AD197" s="143">
        <f t="shared" si="177"/>
        <v>1.7999999999999998</v>
      </c>
      <c r="AE197" s="146">
        <f t="shared" si="177"/>
        <v>1.8928571428571432</v>
      </c>
      <c r="AF197" s="143">
        <f t="shared" si="177"/>
        <v>1.6704545454545454</v>
      </c>
      <c r="AG197" s="143">
        <f t="shared" si="177"/>
        <v>1.6521739130434785</v>
      </c>
      <c r="AH197" s="143">
        <f t="shared" si="177"/>
        <v>1.8732394366197185</v>
      </c>
      <c r="AI197" s="143">
        <f t="shared" si="177"/>
        <v>1.8888888888888888</v>
      </c>
      <c r="AJ197" s="143">
        <f t="shared" si="177"/>
        <v>1.5555555555555558</v>
      </c>
      <c r="AK197" s="143">
        <f t="shared" si="177"/>
        <v>1.8888888888888888</v>
      </c>
      <c r="AL197" s="143">
        <f t="shared" si="177"/>
        <v>1.9090909090909092</v>
      </c>
      <c r="AM197" s="143">
        <f t="shared" si="177"/>
        <v>1.9166666666666665</v>
      </c>
      <c r="AN197" s="143">
        <f t="shared" si="177"/>
        <v>1.3571428571428572</v>
      </c>
      <c r="AO197" s="143">
        <f t="shared" si="177"/>
        <v>1.62</v>
      </c>
      <c r="AP197" s="143">
        <f t="shared" si="177"/>
        <v>1.7999999999999998</v>
      </c>
      <c r="AQ197" s="191">
        <f t="shared" si="177"/>
        <v>1.8928571428571432</v>
      </c>
    </row>
    <row r="198" spans="2:43" x14ac:dyDescent="0.25">
      <c r="B198" s="190" t="s">
        <v>109</v>
      </c>
      <c r="C198" s="146">
        <f t="shared" si="170"/>
        <v>1.0182680901542112</v>
      </c>
      <c r="D198" s="143">
        <f t="shared" ref="D198:AQ198" si="178">ROUND(D118,2)/ROUND(D100,2)-1</f>
        <v>1.0188101487314087</v>
      </c>
      <c r="E198" s="143">
        <f t="shared" si="178"/>
        <v>1.0181660899653977</v>
      </c>
      <c r="F198" s="143">
        <f t="shared" si="178"/>
        <v>1.0183996576807872</v>
      </c>
      <c r="G198" s="146">
        <f t="shared" si="178"/>
        <v>1.0183996576807872</v>
      </c>
      <c r="H198" s="143">
        <f t="shared" si="178"/>
        <v>1.017877094972067</v>
      </c>
      <c r="I198" s="143">
        <f t="shared" si="178"/>
        <v>1.0185643564356432</v>
      </c>
      <c r="J198" s="143">
        <f t="shared" si="178"/>
        <v>1.017877094972067</v>
      </c>
      <c r="K198" s="143">
        <f t="shared" si="178"/>
        <v>1.0184757505773674</v>
      </c>
      <c r="L198" s="143">
        <f t="shared" si="178"/>
        <v>1.017877094972067</v>
      </c>
      <c r="M198" s="143">
        <f t="shared" si="178"/>
        <v>1.0184757505773674</v>
      </c>
      <c r="N198" s="143">
        <f t="shared" si="178"/>
        <v>1.017877094972067</v>
      </c>
      <c r="O198" s="143">
        <f t="shared" si="178"/>
        <v>1.017877094972067</v>
      </c>
      <c r="P198" s="143">
        <f t="shared" si="178"/>
        <v>1.0184757505773674</v>
      </c>
      <c r="Q198" s="143">
        <f t="shared" si="178"/>
        <v>1.017877094972067</v>
      </c>
      <c r="R198" s="143">
        <f t="shared" si="178"/>
        <v>1.0184757505773674</v>
      </c>
      <c r="S198" s="146">
        <f t="shared" si="178"/>
        <v>1.017877094972067</v>
      </c>
      <c r="T198" s="143">
        <f t="shared" si="178"/>
        <v>1</v>
      </c>
      <c r="U198" s="143">
        <f t="shared" si="178"/>
        <v>1</v>
      </c>
      <c r="V198" s="143">
        <f t="shared" si="178"/>
        <v>1</v>
      </c>
      <c r="W198" s="143">
        <f t="shared" si="178"/>
        <v>1</v>
      </c>
      <c r="X198" s="143">
        <f t="shared" si="178"/>
        <v>1</v>
      </c>
      <c r="Y198" s="143">
        <f t="shared" si="178"/>
        <v>1</v>
      </c>
      <c r="Z198" s="143">
        <f t="shared" si="178"/>
        <v>1</v>
      </c>
      <c r="AA198" s="143">
        <f t="shared" si="178"/>
        <v>1</v>
      </c>
      <c r="AB198" s="143">
        <f t="shared" si="178"/>
        <v>1</v>
      </c>
      <c r="AC198" s="143">
        <f t="shared" si="178"/>
        <v>1</v>
      </c>
      <c r="AD198" s="143">
        <f t="shared" si="178"/>
        <v>1</v>
      </c>
      <c r="AE198" s="146">
        <f t="shared" si="178"/>
        <v>1</v>
      </c>
      <c r="AF198" s="143">
        <f t="shared" si="178"/>
        <v>1.0256410256410255</v>
      </c>
      <c r="AG198" s="143">
        <f t="shared" si="178"/>
        <v>1.0256410256410255</v>
      </c>
      <c r="AH198" s="143">
        <f t="shared" si="178"/>
        <v>1.0256410256410255</v>
      </c>
      <c r="AI198" s="143">
        <f t="shared" si="178"/>
        <v>1.0256410256410255</v>
      </c>
      <c r="AJ198" s="143">
        <f t="shared" si="178"/>
        <v>1.0256410256410255</v>
      </c>
      <c r="AK198" s="143">
        <f t="shared" si="178"/>
        <v>1.0256410256410255</v>
      </c>
      <c r="AL198" s="143">
        <f t="shared" si="178"/>
        <v>1.0256410256410255</v>
      </c>
      <c r="AM198" s="143">
        <f t="shared" si="178"/>
        <v>1.0256410256410255</v>
      </c>
      <c r="AN198" s="143">
        <f t="shared" si="178"/>
        <v>1.0256410256410255</v>
      </c>
      <c r="AO198" s="143">
        <f t="shared" si="178"/>
        <v>1.0256410256410255</v>
      </c>
      <c r="AP198" s="143">
        <f t="shared" si="178"/>
        <v>1.0256410256410255</v>
      </c>
      <c r="AQ198" s="191">
        <f t="shared" si="178"/>
        <v>1.0256410256410255</v>
      </c>
    </row>
    <row r="199" spans="2:43" x14ac:dyDescent="0.25">
      <c r="B199" s="190" t="s">
        <v>110</v>
      </c>
      <c r="C199" s="146">
        <f t="shared" si="170"/>
        <v>0.40902691511387146</v>
      </c>
      <c r="D199" s="143">
        <f t="shared" ref="D199:AQ199" si="179">ROUND(D119,2)/ROUND(D101,2)-1</f>
        <v>0.39011284255776468</v>
      </c>
      <c r="E199" s="143">
        <f t="shared" si="179"/>
        <v>0.42938496583143504</v>
      </c>
      <c r="F199" s="143">
        <f t="shared" si="179"/>
        <v>0.38036480686695273</v>
      </c>
      <c r="G199" s="146">
        <f t="shared" si="179"/>
        <v>0.43037720706260041</v>
      </c>
      <c r="H199" s="143">
        <f t="shared" si="179"/>
        <v>0.36828260052611794</v>
      </c>
      <c r="I199" s="143">
        <f t="shared" si="179"/>
        <v>0.35714285714285721</v>
      </c>
      <c r="J199" s="143">
        <f t="shared" si="179"/>
        <v>0.48035547240411591</v>
      </c>
      <c r="K199" s="143">
        <f t="shared" si="179"/>
        <v>0.47245283018867945</v>
      </c>
      <c r="L199" s="143">
        <f t="shared" si="179"/>
        <v>0.32869080779944304</v>
      </c>
      <c r="M199" s="143">
        <f t="shared" si="179"/>
        <v>0.48922686945500637</v>
      </c>
      <c r="N199" s="143">
        <f t="shared" si="179"/>
        <v>0.50832072617246604</v>
      </c>
      <c r="O199" s="143">
        <f t="shared" si="179"/>
        <v>0.46883468834688347</v>
      </c>
      <c r="P199" s="143">
        <f t="shared" si="179"/>
        <v>0.18225419664268583</v>
      </c>
      <c r="Q199" s="143">
        <f t="shared" si="179"/>
        <v>0.35079575596816981</v>
      </c>
      <c r="R199" s="143">
        <f t="shared" si="179"/>
        <v>0.43149606299212584</v>
      </c>
      <c r="S199" s="146">
        <f t="shared" si="179"/>
        <v>0.47650743931088502</v>
      </c>
      <c r="T199" s="143">
        <f t="shared" si="179"/>
        <v>0.36627906976744184</v>
      </c>
      <c r="U199" s="143">
        <f t="shared" si="179"/>
        <v>0.35555555555555562</v>
      </c>
      <c r="V199" s="143">
        <f t="shared" si="179"/>
        <v>0.47826086956521752</v>
      </c>
      <c r="W199" s="143">
        <f t="shared" si="179"/>
        <v>0.47727272727272729</v>
      </c>
      <c r="X199" s="143">
        <f t="shared" si="179"/>
        <v>0.33333333333333348</v>
      </c>
      <c r="Y199" s="143">
        <f t="shared" si="179"/>
        <v>0.47169811320754707</v>
      </c>
      <c r="Z199" s="143">
        <f t="shared" si="179"/>
        <v>0.48837209302325579</v>
      </c>
      <c r="AA199" s="143">
        <f t="shared" si="179"/>
        <v>0.45833333333333326</v>
      </c>
      <c r="AB199" s="143">
        <f t="shared" si="179"/>
        <v>0.1785714285714286</v>
      </c>
      <c r="AC199" s="143">
        <f t="shared" si="179"/>
        <v>0.35051546391752586</v>
      </c>
      <c r="AD199" s="143">
        <f t="shared" si="179"/>
        <v>0.4330708661417324</v>
      </c>
      <c r="AE199" s="146">
        <f t="shared" si="179"/>
        <v>0.47272727272727288</v>
      </c>
      <c r="AF199" s="143">
        <f t="shared" si="179"/>
        <v>0.36627906976744184</v>
      </c>
      <c r="AG199" s="143">
        <f t="shared" si="179"/>
        <v>0.35555555555555562</v>
      </c>
      <c r="AH199" s="143">
        <f t="shared" si="179"/>
        <v>0.47826086956521752</v>
      </c>
      <c r="AI199" s="143">
        <f t="shared" si="179"/>
        <v>0.47727272727272729</v>
      </c>
      <c r="AJ199" s="143">
        <f t="shared" si="179"/>
        <v>0.33333333333333348</v>
      </c>
      <c r="AK199" s="143">
        <f t="shared" si="179"/>
        <v>0.47169811320754707</v>
      </c>
      <c r="AL199" s="143">
        <f t="shared" si="179"/>
        <v>0.48837209302325579</v>
      </c>
      <c r="AM199" s="143">
        <f t="shared" si="179"/>
        <v>0.45833333333333326</v>
      </c>
      <c r="AN199" s="143">
        <f t="shared" si="179"/>
        <v>0.1785714285714286</v>
      </c>
      <c r="AO199" s="143">
        <f t="shared" si="179"/>
        <v>0.35051546391752586</v>
      </c>
      <c r="AP199" s="143">
        <f t="shared" si="179"/>
        <v>0.4330708661417324</v>
      </c>
      <c r="AQ199" s="191">
        <f t="shared" si="179"/>
        <v>0.47272727272727288</v>
      </c>
    </row>
    <row r="200" spans="2:43" ht="15.75" thickBot="1" x14ac:dyDescent="0.3">
      <c r="B200" s="192" t="s">
        <v>111</v>
      </c>
      <c r="C200" s="193">
        <f t="shared" si="170"/>
        <v>1.4473532796317605</v>
      </c>
      <c r="D200" s="195">
        <f t="shared" ref="D200:AQ200" si="180">ROUND(D120,2)/ROUND(D102,2)-1</f>
        <v>1.4147479775980085</v>
      </c>
      <c r="E200" s="195">
        <f t="shared" si="180"/>
        <v>1.4818721160184576</v>
      </c>
      <c r="F200" s="195">
        <f t="shared" si="180"/>
        <v>1.3979496738117425</v>
      </c>
      <c r="G200" s="193">
        <f t="shared" si="180"/>
        <v>1.4848379226211224</v>
      </c>
      <c r="H200" s="195">
        <f t="shared" si="180"/>
        <v>1.3766318537859004</v>
      </c>
      <c r="I200" s="195">
        <f t="shared" si="180"/>
        <v>1.3575367647058822</v>
      </c>
      <c r="J200" s="195">
        <f t="shared" si="180"/>
        <v>1.5710804224207959</v>
      </c>
      <c r="K200" s="195">
        <f t="shared" si="180"/>
        <v>1.557011795543906</v>
      </c>
      <c r="L200" s="195">
        <f t="shared" si="180"/>
        <v>1.3080645161290323</v>
      </c>
      <c r="M200" s="195">
        <f t="shared" si="180"/>
        <v>1.5881057268722465</v>
      </c>
      <c r="N200" s="195">
        <f t="shared" si="180"/>
        <v>1.6167979002624673</v>
      </c>
      <c r="O200" s="195">
        <f t="shared" si="180"/>
        <v>1.5505882352941178</v>
      </c>
      <c r="P200" s="195">
        <f t="shared" si="180"/>
        <v>1.0541666666666667</v>
      </c>
      <c r="Q200" s="195">
        <f t="shared" si="180"/>
        <v>1.3467741935483875</v>
      </c>
      <c r="R200" s="195">
        <f t="shared" si="180"/>
        <v>1.4858705560619869</v>
      </c>
      <c r="S200" s="193">
        <f t="shared" si="180"/>
        <v>1.5653061224489799</v>
      </c>
      <c r="T200" s="195">
        <f t="shared" si="180"/>
        <v>1.3737373737373737</v>
      </c>
      <c r="U200" s="195">
        <f t="shared" si="180"/>
        <v>1.3461538461538463</v>
      </c>
      <c r="V200" s="195">
        <f t="shared" si="180"/>
        <v>1.5822784810126582</v>
      </c>
      <c r="W200" s="195">
        <f t="shared" si="180"/>
        <v>1.5490196078431371</v>
      </c>
      <c r="X200" s="195">
        <f t="shared" si="180"/>
        <v>1.2999999999999998</v>
      </c>
      <c r="Y200" s="195">
        <f t="shared" si="180"/>
        <v>1.6</v>
      </c>
      <c r="Z200" s="195">
        <f t="shared" si="180"/>
        <v>1.56</v>
      </c>
      <c r="AA200" s="195">
        <f t="shared" si="180"/>
        <v>1.5925925925925921</v>
      </c>
      <c r="AB200" s="195">
        <f t="shared" si="180"/>
        <v>1.0625</v>
      </c>
      <c r="AC200" s="195">
        <f t="shared" si="180"/>
        <v>1.339285714285714</v>
      </c>
      <c r="AD200" s="195">
        <f t="shared" si="180"/>
        <v>1.493150684931507</v>
      </c>
      <c r="AE200" s="193">
        <f t="shared" si="180"/>
        <v>1.5578947368421057</v>
      </c>
      <c r="AF200" s="195">
        <f t="shared" si="180"/>
        <v>1.3737373737373737</v>
      </c>
      <c r="AG200" s="195">
        <f t="shared" si="180"/>
        <v>1.3461538461538463</v>
      </c>
      <c r="AH200" s="195">
        <f t="shared" si="180"/>
        <v>1.5822784810126582</v>
      </c>
      <c r="AI200" s="195">
        <f t="shared" si="180"/>
        <v>1.5490196078431371</v>
      </c>
      <c r="AJ200" s="195">
        <f t="shared" si="180"/>
        <v>1.2999999999999998</v>
      </c>
      <c r="AK200" s="195">
        <f t="shared" si="180"/>
        <v>1.6</v>
      </c>
      <c r="AL200" s="195">
        <f t="shared" si="180"/>
        <v>1.56</v>
      </c>
      <c r="AM200" s="195">
        <f t="shared" si="180"/>
        <v>1.5925925925925921</v>
      </c>
      <c r="AN200" s="195">
        <f t="shared" si="180"/>
        <v>1.0625</v>
      </c>
      <c r="AO200" s="195">
        <f t="shared" si="180"/>
        <v>1.339285714285714</v>
      </c>
      <c r="AP200" s="195">
        <f t="shared" si="180"/>
        <v>1.493150684931507</v>
      </c>
      <c r="AQ200" s="208">
        <f t="shared" si="180"/>
        <v>1.5578947368421057</v>
      </c>
    </row>
    <row r="201" spans="2:43" ht="15.75" thickBot="1" x14ac:dyDescent="0.3"/>
    <row r="202" spans="2:43" ht="15.75" x14ac:dyDescent="0.25">
      <c r="B202" s="373" t="s">
        <v>119</v>
      </c>
      <c r="C202" s="374"/>
      <c r="D202" s="374"/>
      <c r="E202" s="374"/>
      <c r="F202" s="374"/>
      <c r="G202" s="374"/>
      <c r="H202" s="374"/>
      <c r="I202" s="374"/>
      <c r="J202" s="374"/>
      <c r="K202" s="374"/>
      <c r="L202" s="374"/>
      <c r="M202" s="374"/>
      <c r="N202" s="374"/>
      <c r="O202" s="374"/>
      <c r="P202" s="374"/>
      <c r="Q202" s="374"/>
      <c r="R202" s="374"/>
      <c r="S202" s="374"/>
      <c r="T202" s="374"/>
      <c r="U202" s="374"/>
      <c r="V202" s="374"/>
      <c r="W202" s="374"/>
      <c r="X202" s="374"/>
      <c r="Y202" s="374"/>
      <c r="Z202" s="374"/>
      <c r="AA202" s="374"/>
      <c r="AB202" s="374"/>
      <c r="AC202" s="374"/>
      <c r="AD202" s="374"/>
      <c r="AE202" s="374"/>
      <c r="AF202" s="374"/>
      <c r="AG202" s="374"/>
      <c r="AH202" s="374"/>
      <c r="AI202" s="374"/>
      <c r="AJ202" s="374"/>
      <c r="AK202" s="374"/>
      <c r="AL202" s="374"/>
      <c r="AM202" s="374"/>
      <c r="AN202" s="374"/>
      <c r="AO202" s="374"/>
      <c r="AP202" s="374"/>
      <c r="AQ202" s="375"/>
    </row>
    <row r="203" spans="2:43" ht="15" customHeight="1" x14ac:dyDescent="0.25">
      <c r="B203" s="190"/>
      <c r="C203" s="380" t="s">
        <v>123</v>
      </c>
      <c r="D203" s="376" t="s">
        <v>97</v>
      </c>
      <c r="E203" s="377"/>
      <c r="F203" s="377"/>
      <c r="G203" s="378"/>
      <c r="H203" s="376" t="s">
        <v>98</v>
      </c>
      <c r="I203" s="377"/>
      <c r="J203" s="377"/>
      <c r="K203" s="377"/>
      <c r="L203" s="377"/>
      <c r="M203" s="377"/>
      <c r="N203" s="377"/>
      <c r="O203" s="377"/>
      <c r="P203" s="377"/>
      <c r="Q203" s="377"/>
      <c r="R203" s="377"/>
      <c r="S203" s="378"/>
      <c r="T203" s="376" t="s">
        <v>99</v>
      </c>
      <c r="U203" s="377"/>
      <c r="V203" s="377"/>
      <c r="W203" s="377"/>
      <c r="X203" s="377"/>
      <c r="Y203" s="377"/>
      <c r="Z203" s="377"/>
      <c r="AA203" s="377"/>
      <c r="AB203" s="377"/>
      <c r="AC203" s="377"/>
      <c r="AD203" s="377"/>
      <c r="AE203" s="378"/>
      <c r="AF203" s="376" t="s">
        <v>100</v>
      </c>
      <c r="AG203" s="377"/>
      <c r="AH203" s="377"/>
      <c r="AI203" s="377"/>
      <c r="AJ203" s="377"/>
      <c r="AK203" s="377"/>
      <c r="AL203" s="377"/>
      <c r="AM203" s="377"/>
      <c r="AN203" s="377"/>
      <c r="AO203" s="377"/>
      <c r="AP203" s="377"/>
      <c r="AQ203" s="379"/>
    </row>
    <row r="204" spans="2:43" x14ac:dyDescent="0.25">
      <c r="B204" s="189"/>
      <c r="C204" s="381"/>
      <c r="D204" s="331" t="s">
        <v>9</v>
      </c>
      <c r="E204" s="332" t="s">
        <v>10</v>
      </c>
      <c r="F204" s="332" t="s">
        <v>11</v>
      </c>
      <c r="G204" s="333" t="s">
        <v>12</v>
      </c>
      <c r="H204" s="173" t="s">
        <v>35</v>
      </c>
      <c r="I204" s="165" t="s">
        <v>36</v>
      </c>
      <c r="J204" s="165" t="s">
        <v>37</v>
      </c>
      <c r="K204" s="165" t="s">
        <v>38</v>
      </c>
      <c r="L204" s="165" t="s">
        <v>39</v>
      </c>
      <c r="M204" s="165" t="s">
        <v>40</v>
      </c>
      <c r="N204" s="165" t="s">
        <v>41</v>
      </c>
      <c r="O204" s="165" t="s">
        <v>42</v>
      </c>
      <c r="P204" s="165" t="s">
        <v>43</v>
      </c>
      <c r="Q204" s="165" t="s">
        <v>44</v>
      </c>
      <c r="R204" s="165" t="s">
        <v>45</v>
      </c>
      <c r="S204" s="183" t="s">
        <v>46</v>
      </c>
      <c r="T204" s="173" t="s">
        <v>35</v>
      </c>
      <c r="U204" s="165" t="s">
        <v>36</v>
      </c>
      <c r="V204" s="165" t="s">
        <v>37</v>
      </c>
      <c r="W204" s="165" t="s">
        <v>38</v>
      </c>
      <c r="X204" s="165" t="s">
        <v>39</v>
      </c>
      <c r="Y204" s="165" t="s">
        <v>40</v>
      </c>
      <c r="Z204" s="165" t="s">
        <v>41</v>
      </c>
      <c r="AA204" s="165" t="s">
        <v>42</v>
      </c>
      <c r="AB204" s="165" t="s">
        <v>43</v>
      </c>
      <c r="AC204" s="165" t="s">
        <v>44</v>
      </c>
      <c r="AD204" s="165" t="s">
        <v>45</v>
      </c>
      <c r="AE204" s="183" t="s">
        <v>46</v>
      </c>
      <c r="AF204" s="174" t="s">
        <v>35</v>
      </c>
      <c r="AG204" s="165" t="s">
        <v>36</v>
      </c>
      <c r="AH204" s="165" t="s">
        <v>37</v>
      </c>
      <c r="AI204" s="165" t="s">
        <v>38</v>
      </c>
      <c r="AJ204" s="165" t="s">
        <v>39</v>
      </c>
      <c r="AK204" s="165" t="s">
        <v>40</v>
      </c>
      <c r="AL204" s="165" t="s">
        <v>41</v>
      </c>
      <c r="AM204" s="165" t="s">
        <v>42</v>
      </c>
      <c r="AN204" s="165" t="s">
        <v>43</v>
      </c>
      <c r="AO204" s="165" t="s">
        <v>44</v>
      </c>
      <c r="AP204" s="165" t="s">
        <v>45</v>
      </c>
      <c r="AQ204" s="334" t="s">
        <v>46</v>
      </c>
    </row>
    <row r="205" spans="2:43" x14ac:dyDescent="0.25">
      <c r="B205" s="190" t="s">
        <v>101</v>
      </c>
      <c r="C205" s="146">
        <f>ROUND(C128,2)/ROUND(C110,2)-1</f>
        <v>0</v>
      </c>
      <c r="D205" s="143">
        <f>ROUND(D128,2)/ROUND(D110,2)-1</f>
        <v>0</v>
      </c>
      <c r="E205" s="143">
        <f t="shared" ref="E205:AQ205" si="181">ROUND(E128,2)/ROUND(E110,2)-1</f>
        <v>0</v>
      </c>
      <c r="F205" s="143">
        <f t="shared" si="181"/>
        <v>0</v>
      </c>
      <c r="G205" s="146">
        <f t="shared" si="181"/>
        <v>0</v>
      </c>
      <c r="H205" s="143">
        <f t="shared" si="181"/>
        <v>0</v>
      </c>
      <c r="I205" s="143">
        <f t="shared" si="181"/>
        <v>0</v>
      </c>
      <c r="J205" s="143">
        <f t="shared" si="181"/>
        <v>0</v>
      </c>
      <c r="K205" s="143">
        <f t="shared" si="181"/>
        <v>0</v>
      </c>
      <c r="L205" s="143">
        <f t="shared" si="181"/>
        <v>0</v>
      </c>
      <c r="M205" s="143">
        <f t="shared" si="181"/>
        <v>0</v>
      </c>
      <c r="N205" s="143">
        <f t="shared" si="181"/>
        <v>0</v>
      </c>
      <c r="O205" s="143">
        <f t="shared" si="181"/>
        <v>0</v>
      </c>
      <c r="P205" s="143">
        <f t="shared" si="181"/>
        <v>0</v>
      </c>
      <c r="Q205" s="143">
        <f t="shared" si="181"/>
        <v>0</v>
      </c>
      <c r="R205" s="143">
        <f t="shared" si="181"/>
        <v>0</v>
      </c>
      <c r="S205" s="146">
        <f t="shared" si="181"/>
        <v>0</v>
      </c>
      <c r="T205" s="143">
        <f t="shared" si="181"/>
        <v>0</v>
      </c>
      <c r="U205" s="143">
        <f t="shared" si="181"/>
        <v>0</v>
      </c>
      <c r="V205" s="143">
        <f t="shared" si="181"/>
        <v>0</v>
      </c>
      <c r="W205" s="143">
        <f t="shared" si="181"/>
        <v>0</v>
      </c>
      <c r="X205" s="143">
        <f t="shared" si="181"/>
        <v>0</v>
      </c>
      <c r="Y205" s="143">
        <f t="shared" si="181"/>
        <v>0</v>
      </c>
      <c r="Z205" s="143">
        <f t="shared" si="181"/>
        <v>0</v>
      </c>
      <c r="AA205" s="143">
        <f t="shared" si="181"/>
        <v>0</v>
      </c>
      <c r="AB205" s="143">
        <f t="shared" si="181"/>
        <v>0</v>
      </c>
      <c r="AC205" s="143">
        <f t="shared" si="181"/>
        <v>0</v>
      </c>
      <c r="AD205" s="143">
        <f t="shared" si="181"/>
        <v>0</v>
      </c>
      <c r="AE205" s="146">
        <f t="shared" si="181"/>
        <v>0</v>
      </c>
      <c r="AF205" s="143">
        <f t="shared" si="181"/>
        <v>0</v>
      </c>
      <c r="AG205" s="143">
        <f t="shared" si="181"/>
        <v>0</v>
      </c>
      <c r="AH205" s="143">
        <f t="shared" si="181"/>
        <v>0</v>
      </c>
      <c r="AI205" s="143">
        <f t="shared" si="181"/>
        <v>0</v>
      </c>
      <c r="AJ205" s="143">
        <f t="shared" si="181"/>
        <v>0</v>
      </c>
      <c r="AK205" s="143">
        <f t="shared" si="181"/>
        <v>0</v>
      </c>
      <c r="AL205" s="143">
        <f t="shared" si="181"/>
        <v>0</v>
      </c>
      <c r="AM205" s="143">
        <f t="shared" si="181"/>
        <v>0</v>
      </c>
      <c r="AN205" s="143">
        <f t="shared" si="181"/>
        <v>0</v>
      </c>
      <c r="AO205" s="143">
        <f t="shared" si="181"/>
        <v>0</v>
      </c>
      <c r="AP205" s="143">
        <f t="shared" si="181"/>
        <v>0</v>
      </c>
      <c r="AQ205" s="191">
        <f t="shared" si="181"/>
        <v>0</v>
      </c>
    </row>
    <row r="206" spans="2:43" x14ac:dyDescent="0.25">
      <c r="B206" s="213" t="s">
        <v>102</v>
      </c>
      <c r="C206" s="146">
        <v>0</v>
      </c>
      <c r="D206" s="143">
        <v>0</v>
      </c>
      <c r="E206" s="143">
        <v>0</v>
      </c>
      <c r="F206" s="143">
        <v>0</v>
      </c>
      <c r="G206" s="146">
        <v>0</v>
      </c>
      <c r="H206" s="143">
        <v>0</v>
      </c>
      <c r="I206" s="143">
        <v>0</v>
      </c>
      <c r="J206" s="143">
        <v>0</v>
      </c>
      <c r="K206" s="143">
        <v>0</v>
      </c>
      <c r="L206" s="143">
        <v>0</v>
      </c>
      <c r="M206" s="143">
        <v>0</v>
      </c>
      <c r="N206" s="143">
        <v>0</v>
      </c>
      <c r="O206" s="143">
        <v>0</v>
      </c>
      <c r="P206" s="143">
        <v>0</v>
      </c>
      <c r="Q206" s="143">
        <v>0</v>
      </c>
      <c r="R206" s="143">
        <v>0</v>
      </c>
      <c r="S206" s="146">
        <v>0</v>
      </c>
      <c r="T206" s="143">
        <v>0</v>
      </c>
      <c r="U206" s="143">
        <v>0</v>
      </c>
      <c r="V206" s="143">
        <v>0</v>
      </c>
      <c r="W206" s="143">
        <v>0</v>
      </c>
      <c r="X206" s="143">
        <v>0</v>
      </c>
      <c r="Y206" s="143">
        <v>0</v>
      </c>
      <c r="Z206" s="143">
        <v>0</v>
      </c>
      <c r="AA206" s="143">
        <v>0</v>
      </c>
      <c r="AB206" s="143">
        <v>0</v>
      </c>
      <c r="AC206" s="143">
        <v>0</v>
      </c>
      <c r="AD206" s="143">
        <v>0</v>
      </c>
      <c r="AE206" s="146">
        <v>0</v>
      </c>
      <c r="AF206" s="143">
        <v>0</v>
      </c>
      <c r="AG206" s="143">
        <v>0</v>
      </c>
      <c r="AH206" s="143">
        <v>0</v>
      </c>
      <c r="AI206" s="143">
        <v>0</v>
      </c>
      <c r="AJ206" s="143">
        <v>0</v>
      </c>
      <c r="AK206" s="143">
        <v>0</v>
      </c>
      <c r="AL206" s="143">
        <v>0</v>
      </c>
      <c r="AM206" s="143">
        <v>0</v>
      </c>
      <c r="AN206" s="143">
        <v>0</v>
      </c>
      <c r="AO206" s="143">
        <v>0</v>
      </c>
      <c r="AP206" s="143">
        <v>0</v>
      </c>
      <c r="AQ206" s="191">
        <v>0</v>
      </c>
    </row>
    <row r="207" spans="2:43" x14ac:dyDescent="0.25">
      <c r="B207" s="190" t="s">
        <v>103</v>
      </c>
      <c r="C207" s="146">
        <f t="shared" ref="C207:AQ207" si="182">ROUND(C130,2)/ROUND(C112,2)-1</f>
        <v>0</v>
      </c>
      <c r="D207" s="143">
        <f t="shared" si="182"/>
        <v>0</v>
      </c>
      <c r="E207" s="143">
        <f t="shared" si="182"/>
        <v>0</v>
      </c>
      <c r="F207" s="143">
        <f t="shared" si="182"/>
        <v>0</v>
      </c>
      <c r="G207" s="146">
        <f t="shared" si="182"/>
        <v>0</v>
      </c>
      <c r="H207" s="143">
        <f t="shared" si="182"/>
        <v>0</v>
      </c>
      <c r="I207" s="143">
        <f t="shared" si="182"/>
        <v>0</v>
      </c>
      <c r="J207" s="143">
        <f t="shared" si="182"/>
        <v>0</v>
      </c>
      <c r="K207" s="143">
        <f t="shared" si="182"/>
        <v>0</v>
      </c>
      <c r="L207" s="143">
        <f t="shared" si="182"/>
        <v>0</v>
      </c>
      <c r="M207" s="143">
        <f t="shared" si="182"/>
        <v>0</v>
      </c>
      <c r="N207" s="143">
        <f t="shared" si="182"/>
        <v>0</v>
      </c>
      <c r="O207" s="143">
        <f t="shared" si="182"/>
        <v>0</v>
      </c>
      <c r="P207" s="143">
        <f t="shared" si="182"/>
        <v>0</v>
      </c>
      <c r="Q207" s="143">
        <f t="shared" si="182"/>
        <v>0</v>
      </c>
      <c r="R207" s="143">
        <f t="shared" si="182"/>
        <v>0</v>
      </c>
      <c r="S207" s="146">
        <f t="shared" si="182"/>
        <v>0</v>
      </c>
      <c r="T207" s="143">
        <f t="shared" si="182"/>
        <v>0</v>
      </c>
      <c r="U207" s="143">
        <f t="shared" si="182"/>
        <v>0</v>
      </c>
      <c r="V207" s="143">
        <f t="shared" si="182"/>
        <v>0</v>
      </c>
      <c r="W207" s="143">
        <f t="shared" si="182"/>
        <v>0</v>
      </c>
      <c r="X207" s="143">
        <f t="shared" si="182"/>
        <v>0</v>
      </c>
      <c r="Y207" s="143">
        <f t="shared" si="182"/>
        <v>0</v>
      </c>
      <c r="Z207" s="143">
        <f t="shared" si="182"/>
        <v>0</v>
      </c>
      <c r="AA207" s="143">
        <f t="shared" si="182"/>
        <v>0</v>
      </c>
      <c r="AB207" s="143">
        <f t="shared" si="182"/>
        <v>0</v>
      </c>
      <c r="AC207" s="143">
        <f t="shared" si="182"/>
        <v>0</v>
      </c>
      <c r="AD207" s="143">
        <f t="shared" si="182"/>
        <v>0</v>
      </c>
      <c r="AE207" s="146">
        <f t="shared" si="182"/>
        <v>0</v>
      </c>
      <c r="AF207" s="143">
        <f t="shared" si="182"/>
        <v>0</v>
      </c>
      <c r="AG207" s="143">
        <f t="shared" si="182"/>
        <v>0</v>
      </c>
      <c r="AH207" s="143">
        <f t="shared" si="182"/>
        <v>0</v>
      </c>
      <c r="AI207" s="143">
        <f t="shared" si="182"/>
        <v>0</v>
      </c>
      <c r="AJ207" s="143">
        <f t="shared" si="182"/>
        <v>0</v>
      </c>
      <c r="AK207" s="143">
        <f t="shared" si="182"/>
        <v>0</v>
      </c>
      <c r="AL207" s="143">
        <f t="shared" si="182"/>
        <v>0</v>
      </c>
      <c r="AM207" s="143">
        <f t="shared" si="182"/>
        <v>0</v>
      </c>
      <c r="AN207" s="143">
        <f t="shared" si="182"/>
        <v>0</v>
      </c>
      <c r="AO207" s="143">
        <f t="shared" si="182"/>
        <v>0</v>
      </c>
      <c r="AP207" s="143">
        <f t="shared" si="182"/>
        <v>0</v>
      </c>
      <c r="AQ207" s="191">
        <f t="shared" si="182"/>
        <v>0</v>
      </c>
    </row>
    <row r="208" spans="2:43" x14ac:dyDescent="0.25">
      <c r="B208" s="190" t="s">
        <v>104</v>
      </c>
      <c r="C208" s="146">
        <f t="shared" ref="C208:AQ208" si="183">ROUND(C131,2)/ROUND(C113,2)-1</f>
        <v>0</v>
      </c>
      <c r="D208" s="143">
        <f t="shared" si="183"/>
        <v>0</v>
      </c>
      <c r="E208" s="143">
        <f t="shared" si="183"/>
        <v>0</v>
      </c>
      <c r="F208" s="143">
        <f t="shared" si="183"/>
        <v>0</v>
      </c>
      <c r="G208" s="146">
        <f t="shared" si="183"/>
        <v>0</v>
      </c>
      <c r="H208" s="143">
        <f t="shared" si="183"/>
        <v>0</v>
      </c>
      <c r="I208" s="143">
        <f t="shared" si="183"/>
        <v>0</v>
      </c>
      <c r="J208" s="143">
        <f t="shared" si="183"/>
        <v>0</v>
      </c>
      <c r="K208" s="143">
        <f t="shared" si="183"/>
        <v>0</v>
      </c>
      <c r="L208" s="143">
        <f t="shared" si="183"/>
        <v>0</v>
      </c>
      <c r="M208" s="143">
        <f t="shared" si="183"/>
        <v>0</v>
      </c>
      <c r="N208" s="143">
        <f t="shared" si="183"/>
        <v>0</v>
      </c>
      <c r="O208" s="143">
        <f t="shared" si="183"/>
        <v>0</v>
      </c>
      <c r="P208" s="143">
        <f t="shared" si="183"/>
        <v>0</v>
      </c>
      <c r="Q208" s="143">
        <f t="shared" si="183"/>
        <v>0</v>
      </c>
      <c r="R208" s="143">
        <f t="shared" si="183"/>
        <v>0</v>
      </c>
      <c r="S208" s="146">
        <f t="shared" si="183"/>
        <v>0</v>
      </c>
      <c r="T208" s="143">
        <f t="shared" si="183"/>
        <v>-1.6666666666666718E-2</v>
      </c>
      <c r="U208" s="143">
        <f t="shared" si="183"/>
        <v>-1.6666666666666718E-2</v>
      </c>
      <c r="V208" s="143">
        <f t="shared" si="183"/>
        <v>-1.6666666666666718E-2</v>
      </c>
      <c r="W208" s="143">
        <f t="shared" si="183"/>
        <v>-1.6666666666666718E-2</v>
      </c>
      <c r="X208" s="143">
        <f t="shared" si="183"/>
        <v>-1.6666666666666718E-2</v>
      </c>
      <c r="Y208" s="143">
        <f t="shared" si="183"/>
        <v>-1.6666666666666718E-2</v>
      </c>
      <c r="Z208" s="143">
        <f t="shared" si="183"/>
        <v>-1.6666666666666718E-2</v>
      </c>
      <c r="AA208" s="143">
        <f t="shared" si="183"/>
        <v>-1.6666666666666718E-2</v>
      </c>
      <c r="AB208" s="143">
        <f t="shared" si="183"/>
        <v>-1.6666666666666718E-2</v>
      </c>
      <c r="AC208" s="143">
        <f t="shared" si="183"/>
        <v>-1.6666666666666718E-2</v>
      </c>
      <c r="AD208" s="143">
        <f t="shared" si="183"/>
        <v>-1.6666666666666718E-2</v>
      </c>
      <c r="AE208" s="146">
        <f t="shared" si="183"/>
        <v>-1.6666666666666718E-2</v>
      </c>
      <c r="AF208" s="143">
        <f t="shared" si="183"/>
        <v>1.538461538461533E-2</v>
      </c>
      <c r="AG208" s="143">
        <f t="shared" si="183"/>
        <v>1.538461538461533E-2</v>
      </c>
      <c r="AH208" s="143">
        <f t="shared" si="183"/>
        <v>1.538461538461533E-2</v>
      </c>
      <c r="AI208" s="143">
        <f t="shared" si="183"/>
        <v>1.538461538461533E-2</v>
      </c>
      <c r="AJ208" s="143">
        <f t="shared" si="183"/>
        <v>1.538461538461533E-2</v>
      </c>
      <c r="AK208" s="143">
        <f t="shared" si="183"/>
        <v>1.538461538461533E-2</v>
      </c>
      <c r="AL208" s="143">
        <f t="shared" si="183"/>
        <v>1.538461538461533E-2</v>
      </c>
      <c r="AM208" s="143">
        <f t="shared" si="183"/>
        <v>1.538461538461533E-2</v>
      </c>
      <c r="AN208" s="143">
        <f t="shared" si="183"/>
        <v>1.538461538461533E-2</v>
      </c>
      <c r="AO208" s="143">
        <f t="shared" si="183"/>
        <v>1.538461538461533E-2</v>
      </c>
      <c r="AP208" s="143">
        <f t="shared" si="183"/>
        <v>1.538461538461533E-2</v>
      </c>
      <c r="AQ208" s="191">
        <f t="shared" si="183"/>
        <v>1.538461538461533E-2</v>
      </c>
    </row>
    <row r="209" spans="2:43" x14ac:dyDescent="0.25">
      <c r="B209" s="190" t="s">
        <v>105</v>
      </c>
      <c r="C209" s="146">
        <f t="shared" ref="C209:AQ209" si="184">ROUND(C132,2)/ROUND(C114,2)-1</f>
        <v>0</v>
      </c>
      <c r="D209" s="143">
        <f t="shared" si="184"/>
        <v>0</v>
      </c>
      <c r="E209" s="143">
        <f t="shared" si="184"/>
        <v>0</v>
      </c>
      <c r="F209" s="143">
        <f t="shared" si="184"/>
        <v>0</v>
      </c>
      <c r="G209" s="146">
        <f t="shared" si="184"/>
        <v>0</v>
      </c>
      <c r="H209" s="143">
        <f t="shared" si="184"/>
        <v>0</v>
      </c>
      <c r="I209" s="143">
        <f t="shared" si="184"/>
        <v>0</v>
      </c>
      <c r="J209" s="143">
        <f t="shared" si="184"/>
        <v>0</v>
      </c>
      <c r="K209" s="143">
        <f t="shared" si="184"/>
        <v>0</v>
      </c>
      <c r="L209" s="143">
        <f t="shared" si="184"/>
        <v>0</v>
      </c>
      <c r="M209" s="143">
        <f t="shared" si="184"/>
        <v>0</v>
      </c>
      <c r="N209" s="143">
        <f t="shared" si="184"/>
        <v>0</v>
      </c>
      <c r="O209" s="143">
        <f t="shared" si="184"/>
        <v>0</v>
      </c>
      <c r="P209" s="143">
        <f t="shared" si="184"/>
        <v>0</v>
      </c>
      <c r="Q209" s="143">
        <f t="shared" si="184"/>
        <v>0</v>
      </c>
      <c r="R209" s="143">
        <f t="shared" si="184"/>
        <v>0</v>
      </c>
      <c r="S209" s="146">
        <f t="shared" si="184"/>
        <v>0</v>
      </c>
      <c r="T209" s="143">
        <f t="shared" si="184"/>
        <v>0</v>
      </c>
      <c r="U209" s="143">
        <f t="shared" si="184"/>
        <v>0</v>
      </c>
      <c r="V209" s="143">
        <f t="shared" si="184"/>
        <v>0</v>
      </c>
      <c r="W209" s="143">
        <f t="shared" si="184"/>
        <v>0</v>
      </c>
      <c r="X209" s="143">
        <f t="shared" si="184"/>
        <v>0</v>
      </c>
      <c r="Y209" s="143">
        <f t="shared" si="184"/>
        <v>0</v>
      </c>
      <c r="Z209" s="143">
        <f t="shared" si="184"/>
        <v>0</v>
      </c>
      <c r="AA209" s="143">
        <f t="shared" si="184"/>
        <v>0</v>
      </c>
      <c r="AB209" s="143">
        <f t="shared" si="184"/>
        <v>0</v>
      </c>
      <c r="AC209" s="143">
        <f t="shared" si="184"/>
        <v>0</v>
      </c>
      <c r="AD209" s="143">
        <f t="shared" si="184"/>
        <v>0</v>
      </c>
      <c r="AE209" s="146">
        <f t="shared" si="184"/>
        <v>0</v>
      </c>
      <c r="AF209" s="143">
        <f t="shared" si="184"/>
        <v>0</v>
      </c>
      <c r="AG209" s="143">
        <f t="shared" si="184"/>
        <v>0</v>
      </c>
      <c r="AH209" s="143">
        <f t="shared" si="184"/>
        <v>0</v>
      </c>
      <c r="AI209" s="143">
        <f t="shared" si="184"/>
        <v>0</v>
      </c>
      <c r="AJ209" s="143">
        <f t="shared" si="184"/>
        <v>0</v>
      </c>
      <c r="AK209" s="143">
        <f t="shared" si="184"/>
        <v>0</v>
      </c>
      <c r="AL209" s="143">
        <f t="shared" si="184"/>
        <v>0</v>
      </c>
      <c r="AM209" s="143">
        <f t="shared" si="184"/>
        <v>0</v>
      </c>
      <c r="AN209" s="143">
        <f t="shared" si="184"/>
        <v>0</v>
      </c>
      <c r="AO209" s="143">
        <f t="shared" si="184"/>
        <v>0</v>
      </c>
      <c r="AP209" s="143">
        <f t="shared" si="184"/>
        <v>0</v>
      </c>
      <c r="AQ209" s="191">
        <f t="shared" si="184"/>
        <v>0</v>
      </c>
    </row>
    <row r="210" spans="2:43" x14ac:dyDescent="0.25">
      <c r="B210" s="190" t="s">
        <v>106</v>
      </c>
      <c r="C210" s="146">
        <f t="shared" ref="C210:AQ210" si="185">ROUND(C133,2)/ROUND(C115,2)-1</f>
        <v>0</v>
      </c>
      <c r="D210" s="143">
        <f t="shared" si="185"/>
        <v>0</v>
      </c>
      <c r="E210" s="143">
        <f t="shared" si="185"/>
        <v>0</v>
      </c>
      <c r="F210" s="143">
        <f t="shared" si="185"/>
        <v>0</v>
      </c>
      <c r="G210" s="146">
        <f t="shared" si="185"/>
        <v>0</v>
      </c>
      <c r="H210" s="143">
        <f t="shared" si="185"/>
        <v>0</v>
      </c>
      <c r="I210" s="143">
        <f t="shared" si="185"/>
        <v>0</v>
      </c>
      <c r="J210" s="143">
        <f t="shared" si="185"/>
        <v>0</v>
      </c>
      <c r="K210" s="143">
        <f t="shared" si="185"/>
        <v>0</v>
      </c>
      <c r="L210" s="143">
        <f t="shared" si="185"/>
        <v>0</v>
      </c>
      <c r="M210" s="143">
        <f t="shared" si="185"/>
        <v>0</v>
      </c>
      <c r="N210" s="143">
        <f t="shared" si="185"/>
        <v>0</v>
      </c>
      <c r="O210" s="143">
        <f t="shared" si="185"/>
        <v>0</v>
      </c>
      <c r="P210" s="143">
        <f t="shared" si="185"/>
        <v>0</v>
      </c>
      <c r="Q210" s="143">
        <f t="shared" si="185"/>
        <v>0</v>
      </c>
      <c r="R210" s="143">
        <f t="shared" si="185"/>
        <v>0</v>
      </c>
      <c r="S210" s="146">
        <f t="shared" si="185"/>
        <v>0</v>
      </c>
      <c r="T210" s="143">
        <f t="shared" si="185"/>
        <v>0</v>
      </c>
      <c r="U210" s="143">
        <f t="shared" si="185"/>
        <v>0</v>
      </c>
      <c r="V210" s="143">
        <f t="shared" si="185"/>
        <v>0</v>
      </c>
      <c r="W210" s="143">
        <f t="shared" si="185"/>
        <v>0</v>
      </c>
      <c r="X210" s="143">
        <f t="shared" si="185"/>
        <v>0</v>
      </c>
      <c r="Y210" s="143">
        <f t="shared" si="185"/>
        <v>0</v>
      </c>
      <c r="Z210" s="143">
        <f t="shared" si="185"/>
        <v>0</v>
      </c>
      <c r="AA210" s="143">
        <f t="shared" si="185"/>
        <v>0</v>
      </c>
      <c r="AB210" s="143">
        <f t="shared" si="185"/>
        <v>0</v>
      </c>
      <c r="AC210" s="143">
        <f t="shared" si="185"/>
        <v>0</v>
      </c>
      <c r="AD210" s="143">
        <f t="shared" si="185"/>
        <v>0</v>
      </c>
      <c r="AE210" s="146">
        <f t="shared" si="185"/>
        <v>0</v>
      </c>
      <c r="AF210" s="143">
        <f t="shared" si="185"/>
        <v>0</v>
      </c>
      <c r="AG210" s="143">
        <f t="shared" si="185"/>
        <v>0</v>
      </c>
      <c r="AH210" s="143">
        <f t="shared" si="185"/>
        <v>0</v>
      </c>
      <c r="AI210" s="143">
        <f t="shared" si="185"/>
        <v>0</v>
      </c>
      <c r="AJ210" s="143">
        <f t="shared" si="185"/>
        <v>0</v>
      </c>
      <c r="AK210" s="143">
        <f t="shared" si="185"/>
        <v>0</v>
      </c>
      <c r="AL210" s="143">
        <f t="shared" si="185"/>
        <v>0</v>
      </c>
      <c r="AM210" s="143">
        <f t="shared" si="185"/>
        <v>0</v>
      </c>
      <c r="AN210" s="143">
        <f t="shared" si="185"/>
        <v>0</v>
      </c>
      <c r="AO210" s="143">
        <f t="shared" si="185"/>
        <v>0</v>
      </c>
      <c r="AP210" s="143">
        <f t="shared" si="185"/>
        <v>0</v>
      </c>
      <c r="AQ210" s="191">
        <f t="shared" si="185"/>
        <v>0</v>
      </c>
    </row>
    <row r="211" spans="2:43" x14ac:dyDescent="0.25">
      <c r="B211" s="190" t="s">
        <v>107</v>
      </c>
      <c r="C211" s="146">
        <f>ROUND(C134,2)/ROUND(C116,2)-1</f>
        <v>-7.6290114023745081E-2</v>
      </c>
      <c r="D211" s="143">
        <f t="shared" ref="D211:AQ211" si="186">ROUND(D134,2)/ROUND(D116,2)-1</f>
        <v>-7.6273022751895958E-2</v>
      </c>
      <c r="E211" s="143">
        <f t="shared" si="186"/>
        <v>-7.6296613801971613E-2</v>
      </c>
      <c r="F211" s="143">
        <f t="shared" si="186"/>
        <v>-7.6319694721221132E-2</v>
      </c>
      <c r="G211" s="146">
        <f t="shared" si="186"/>
        <v>-7.6319694721221132E-2</v>
      </c>
      <c r="H211" s="143">
        <f t="shared" si="186"/>
        <v>-7.6411960132890311E-2</v>
      </c>
      <c r="I211" s="143">
        <f t="shared" si="186"/>
        <v>-7.6026977314530897E-2</v>
      </c>
      <c r="J211" s="143">
        <f t="shared" si="186"/>
        <v>-7.6411960132890311E-2</v>
      </c>
      <c r="K211" s="143">
        <f t="shared" si="186"/>
        <v>-7.6086956521739246E-2</v>
      </c>
      <c r="L211" s="143">
        <f t="shared" si="186"/>
        <v>-7.6411960132890311E-2</v>
      </c>
      <c r="M211" s="143">
        <f t="shared" si="186"/>
        <v>-7.6086956521739246E-2</v>
      </c>
      <c r="N211" s="143">
        <f t="shared" si="186"/>
        <v>-7.6411960132890311E-2</v>
      </c>
      <c r="O211" s="143">
        <f t="shared" si="186"/>
        <v>-7.6411960132890311E-2</v>
      </c>
      <c r="P211" s="143">
        <f t="shared" si="186"/>
        <v>-7.6086956521739246E-2</v>
      </c>
      <c r="Q211" s="143">
        <f t="shared" si="186"/>
        <v>-7.6411960132890311E-2</v>
      </c>
      <c r="R211" s="143">
        <f t="shared" si="186"/>
        <v>-7.6086956521739246E-2</v>
      </c>
      <c r="S211" s="146">
        <f t="shared" si="186"/>
        <v>-7.6411960132890311E-2</v>
      </c>
      <c r="T211" s="143">
        <f t="shared" si="186"/>
        <v>-8.4507042253521014E-2</v>
      </c>
      <c r="U211" s="143">
        <f t="shared" si="186"/>
        <v>-8.4507042253521014E-2</v>
      </c>
      <c r="V211" s="143">
        <f t="shared" si="186"/>
        <v>-8.4507042253521014E-2</v>
      </c>
      <c r="W211" s="143">
        <f t="shared" si="186"/>
        <v>-8.4507042253521014E-2</v>
      </c>
      <c r="X211" s="143">
        <f t="shared" si="186"/>
        <v>-8.4507042253521014E-2</v>
      </c>
      <c r="Y211" s="143">
        <f t="shared" si="186"/>
        <v>-8.4507042253521014E-2</v>
      </c>
      <c r="Z211" s="143">
        <f t="shared" si="186"/>
        <v>-8.4507042253521014E-2</v>
      </c>
      <c r="AA211" s="143">
        <f t="shared" si="186"/>
        <v>-8.4507042253521014E-2</v>
      </c>
      <c r="AB211" s="143">
        <f t="shared" si="186"/>
        <v>-8.4507042253521014E-2</v>
      </c>
      <c r="AC211" s="143">
        <f t="shared" si="186"/>
        <v>-8.4507042253521014E-2</v>
      </c>
      <c r="AD211" s="143">
        <f t="shared" si="186"/>
        <v>-8.4507042253521014E-2</v>
      </c>
      <c r="AE211" s="146">
        <f t="shared" si="186"/>
        <v>-8.4507042253521014E-2</v>
      </c>
      <c r="AF211" s="143">
        <f t="shared" si="186"/>
        <v>-6.4102564102564208E-2</v>
      </c>
      <c r="AG211" s="143">
        <f t="shared" si="186"/>
        <v>-6.4102564102564208E-2</v>
      </c>
      <c r="AH211" s="143">
        <f t="shared" si="186"/>
        <v>-6.4102564102564208E-2</v>
      </c>
      <c r="AI211" s="143">
        <f t="shared" si="186"/>
        <v>-6.4102564102564208E-2</v>
      </c>
      <c r="AJ211" s="143">
        <f t="shared" si="186"/>
        <v>-6.4102564102564208E-2</v>
      </c>
      <c r="AK211" s="143">
        <f t="shared" si="186"/>
        <v>-6.4102564102564208E-2</v>
      </c>
      <c r="AL211" s="143">
        <f t="shared" si="186"/>
        <v>-6.4102564102564208E-2</v>
      </c>
      <c r="AM211" s="143">
        <f t="shared" si="186"/>
        <v>-6.4102564102564208E-2</v>
      </c>
      <c r="AN211" s="143">
        <f t="shared" si="186"/>
        <v>-6.4102564102564208E-2</v>
      </c>
      <c r="AO211" s="143">
        <f t="shared" si="186"/>
        <v>-6.4102564102564208E-2</v>
      </c>
      <c r="AP211" s="143">
        <f t="shared" si="186"/>
        <v>-6.4102564102564208E-2</v>
      </c>
      <c r="AQ211" s="191">
        <f t="shared" si="186"/>
        <v>-6.4102564102564208E-2</v>
      </c>
    </row>
    <row r="212" spans="2:43" x14ac:dyDescent="0.25">
      <c r="B212" s="190" t="s">
        <v>108</v>
      </c>
      <c r="C212" s="146">
        <f>ROUND(C135,2)/ROUND(C117,2)-1</f>
        <v>-7.6290114023745081E-2</v>
      </c>
      <c r="D212" s="143">
        <f t="shared" ref="D212:AQ212" si="187">ROUND(D135,2)/ROUND(D117,2)-1</f>
        <v>-7.6278830047674329E-2</v>
      </c>
      <c r="E212" s="143">
        <f t="shared" si="187"/>
        <v>-7.6494023904382313E-2</v>
      </c>
      <c r="F212" s="143">
        <f t="shared" si="187"/>
        <v>-7.6175670423630049E-2</v>
      </c>
      <c r="G212" s="146">
        <f t="shared" si="187"/>
        <v>-7.6167765465002146E-2</v>
      </c>
      <c r="H212" s="143">
        <f t="shared" si="187"/>
        <v>-7.6078000549299585E-2</v>
      </c>
      <c r="I212" s="143">
        <f t="shared" si="187"/>
        <v>-7.6413255360623711E-2</v>
      </c>
      <c r="J212" s="143">
        <f t="shared" si="187"/>
        <v>-7.6461295418641329E-2</v>
      </c>
      <c r="K212" s="143">
        <f t="shared" si="187"/>
        <v>-7.6371091747821751E-2</v>
      </c>
      <c r="L212" s="143">
        <f t="shared" si="187"/>
        <v>-7.6869322152340991E-2</v>
      </c>
      <c r="M212" s="143">
        <f t="shared" si="187"/>
        <v>-7.6595744680851063E-2</v>
      </c>
      <c r="N212" s="143">
        <f t="shared" si="187"/>
        <v>-7.6228686058174455E-2</v>
      </c>
      <c r="O212" s="143">
        <f t="shared" si="187"/>
        <v>-7.6568265682656844E-2</v>
      </c>
      <c r="P212" s="143">
        <f t="shared" si="187"/>
        <v>-7.6064908722109581E-2</v>
      </c>
      <c r="Q212" s="143">
        <f t="shared" si="187"/>
        <v>-7.6092292587138011E-2</v>
      </c>
      <c r="R212" s="143">
        <f t="shared" si="187"/>
        <v>-7.6274294096076223E-2</v>
      </c>
      <c r="S212" s="146">
        <f t="shared" si="187"/>
        <v>-7.6107133386369541E-2</v>
      </c>
      <c r="T212" s="143">
        <f t="shared" si="187"/>
        <v>-7.6595744680851174E-2</v>
      </c>
      <c r="U212" s="143">
        <f t="shared" si="187"/>
        <v>-7.6502732240437243E-2</v>
      </c>
      <c r="V212" s="143">
        <f t="shared" si="187"/>
        <v>-7.3529411764705954E-2</v>
      </c>
      <c r="W212" s="143">
        <f t="shared" si="187"/>
        <v>-7.6923076923076983E-2</v>
      </c>
      <c r="X212" s="143">
        <f t="shared" si="187"/>
        <v>-7.6086956521739246E-2</v>
      </c>
      <c r="Y212" s="143">
        <f t="shared" si="187"/>
        <v>-7.6923076923076983E-2</v>
      </c>
      <c r="Z212" s="143">
        <f t="shared" si="187"/>
        <v>-7.8125000000000111E-2</v>
      </c>
      <c r="AA212" s="143">
        <f t="shared" si="187"/>
        <v>-7.1428571428571286E-2</v>
      </c>
      <c r="AB212" s="143">
        <f t="shared" si="187"/>
        <v>-7.5757575757575801E-2</v>
      </c>
      <c r="AC212" s="143">
        <f t="shared" si="187"/>
        <v>-7.6335877862595436E-2</v>
      </c>
      <c r="AD212" s="143">
        <f t="shared" si="187"/>
        <v>-7.6923076923076983E-2</v>
      </c>
      <c r="AE212" s="146">
        <f t="shared" si="187"/>
        <v>-7.4074074074074181E-2</v>
      </c>
      <c r="AF212" s="143">
        <f t="shared" si="187"/>
        <v>-7.6595744680851174E-2</v>
      </c>
      <c r="AG212" s="143">
        <f t="shared" si="187"/>
        <v>-7.6502732240437243E-2</v>
      </c>
      <c r="AH212" s="143">
        <f t="shared" si="187"/>
        <v>-7.3529411764705954E-2</v>
      </c>
      <c r="AI212" s="143">
        <f t="shared" si="187"/>
        <v>-7.6923076923076983E-2</v>
      </c>
      <c r="AJ212" s="143">
        <f t="shared" si="187"/>
        <v>-7.6086956521739246E-2</v>
      </c>
      <c r="AK212" s="143">
        <f t="shared" si="187"/>
        <v>-7.6923076923076983E-2</v>
      </c>
      <c r="AL212" s="143">
        <f t="shared" si="187"/>
        <v>-7.8125000000000111E-2</v>
      </c>
      <c r="AM212" s="143">
        <f t="shared" si="187"/>
        <v>-7.1428571428571286E-2</v>
      </c>
      <c r="AN212" s="143">
        <f t="shared" si="187"/>
        <v>-7.5757575757575801E-2</v>
      </c>
      <c r="AO212" s="143">
        <f t="shared" si="187"/>
        <v>-7.6335877862595436E-2</v>
      </c>
      <c r="AP212" s="143">
        <f t="shared" si="187"/>
        <v>-7.6923076923076983E-2</v>
      </c>
      <c r="AQ212" s="191">
        <f t="shared" si="187"/>
        <v>-7.4074074074074181E-2</v>
      </c>
    </row>
    <row r="213" spans="2:43" x14ac:dyDescent="0.25">
      <c r="B213" s="190" t="s">
        <v>109</v>
      </c>
      <c r="C213" s="146">
        <f>ROUND(C136,2)/ROUND(C118,2)-1</f>
        <v>-7.6290114023745081E-2</v>
      </c>
      <c r="D213" s="143">
        <f t="shared" ref="D213:AQ213" si="188">ROUND(D136,2)/ROUND(D118,2)-1</f>
        <v>-7.6273022751895958E-2</v>
      </c>
      <c r="E213" s="143">
        <f t="shared" si="188"/>
        <v>-7.6296613801971613E-2</v>
      </c>
      <c r="F213" s="143">
        <f t="shared" si="188"/>
        <v>-7.6319694721221132E-2</v>
      </c>
      <c r="G213" s="146">
        <f t="shared" si="188"/>
        <v>-7.6319694721221132E-2</v>
      </c>
      <c r="H213" s="143">
        <f t="shared" si="188"/>
        <v>-7.6411960132890311E-2</v>
      </c>
      <c r="I213" s="143">
        <f t="shared" si="188"/>
        <v>-7.6026977314530897E-2</v>
      </c>
      <c r="J213" s="143">
        <f t="shared" si="188"/>
        <v>-7.6411960132890311E-2</v>
      </c>
      <c r="K213" s="143">
        <f t="shared" si="188"/>
        <v>-7.6086956521739246E-2</v>
      </c>
      <c r="L213" s="143">
        <f t="shared" si="188"/>
        <v>-7.6411960132890311E-2</v>
      </c>
      <c r="M213" s="143">
        <f t="shared" si="188"/>
        <v>-7.6086956521739246E-2</v>
      </c>
      <c r="N213" s="143">
        <f t="shared" si="188"/>
        <v>-7.6411960132890311E-2</v>
      </c>
      <c r="O213" s="143">
        <f t="shared" si="188"/>
        <v>-7.6411960132890311E-2</v>
      </c>
      <c r="P213" s="143">
        <f t="shared" si="188"/>
        <v>-7.6086956521739246E-2</v>
      </c>
      <c r="Q213" s="143">
        <f t="shared" si="188"/>
        <v>-7.6411960132890311E-2</v>
      </c>
      <c r="R213" s="143">
        <f t="shared" si="188"/>
        <v>-7.6086956521739246E-2</v>
      </c>
      <c r="S213" s="146">
        <f t="shared" si="188"/>
        <v>-7.6411960132890311E-2</v>
      </c>
      <c r="T213" s="143">
        <f t="shared" si="188"/>
        <v>-7.1428571428571286E-2</v>
      </c>
      <c r="U213" s="143">
        <f t="shared" si="188"/>
        <v>-7.1428571428571286E-2</v>
      </c>
      <c r="V213" s="143">
        <f t="shared" si="188"/>
        <v>-7.1428571428571286E-2</v>
      </c>
      <c r="W213" s="143">
        <f t="shared" si="188"/>
        <v>-7.1428571428571286E-2</v>
      </c>
      <c r="X213" s="143">
        <f t="shared" si="188"/>
        <v>-7.1428571428571286E-2</v>
      </c>
      <c r="Y213" s="143">
        <f t="shared" si="188"/>
        <v>-7.1428571428571286E-2</v>
      </c>
      <c r="Z213" s="143">
        <f t="shared" si="188"/>
        <v>-7.1428571428571286E-2</v>
      </c>
      <c r="AA213" s="143">
        <f t="shared" si="188"/>
        <v>-7.1428571428571286E-2</v>
      </c>
      <c r="AB213" s="143">
        <f t="shared" si="188"/>
        <v>-7.1428571428571286E-2</v>
      </c>
      <c r="AC213" s="143">
        <f t="shared" si="188"/>
        <v>-7.1428571428571286E-2</v>
      </c>
      <c r="AD213" s="143">
        <f t="shared" si="188"/>
        <v>-7.1428571428571286E-2</v>
      </c>
      <c r="AE213" s="146">
        <f t="shared" si="188"/>
        <v>-7.1428571428571286E-2</v>
      </c>
      <c r="AF213" s="143">
        <f t="shared" si="188"/>
        <v>-7.5949367088607667E-2</v>
      </c>
      <c r="AG213" s="143">
        <f t="shared" si="188"/>
        <v>-7.5949367088607667E-2</v>
      </c>
      <c r="AH213" s="143">
        <f t="shared" si="188"/>
        <v>-7.5949367088607667E-2</v>
      </c>
      <c r="AI213" s="143">
        <f t="shared" si="188"/>
        <v>-7.5949367088607667E-2</v>
      </c>
      <c r="AJ213" s="143">
        <f t="shared" si="188"/>
        <v>-7.5949367088607667E-2</v>
      </c>
      <c r="AK213" s="143">
        <f t="shared" si="188"/>
        <v>-7.5949367088607667E-2</v>
      </c>
      <c r="AL213" s="143">
        <f t="shared" si="188"/>
        <v>-7.5949367088607667E-2</v>
      </c>
      <c r="AM213" s="143">
        <f t="shared" si="188"/>
        <v>-7.5949367088607667E-2</v>
      </c>
      <c r="AN213" s="143">
        <f t="shared" si="188"/>
        <v>-7.5949367088607667E-2</v>
      </c>
      <c r="AO213" s="143">
        <f t="shared" si="188"/>
        <v>-7.5949367088607667E-2</v>
      </c>
      <c r="AP213" s="143">
        <f t="shared" si="188"/>
        <v>-7.5949367088607667E-2</v>
      </c>
      <c r="AQ213" s="191">
        <f t="shared" si="188"/>
        <v>-7.5949367088607667E-2</v>
      </c>
    </row>
    <row r="214" spans="2:43" x14ac:dyDescent="0.25">
      <c r="B214" s="190" t="s">
        <v>110</v>
      </c>
      <c r="C214" s="146">
        <f>ROUND(C137,2)/ROUND(C119,2)-1</f>
        <v>-7.6290114023745081E-2</v>
      </c>
      <c r="D214" s="143">
        <f t="shared" ref="D214:I214" si="189">ROUND(D137,2)/ROUND(D119,2)-1</f>
        <v>-7.6278830047674329E-2</v>
      </c>
      <c r="E214" s="143">
        <f t="shared" si="189"/>
        <v>-7.6494023904382313E-2</v>
      </c>
      <c r="F214" s="143">
        <f t="shared" si="189"/>
        <v>-7.6175670423630049E-2</v>
      </c>
      <c r="G214" s="146">
        <f t="shared" si="189"/>
        <v>-7.6167765465002146E-2</v>
      </c>
      <c r="H214" s="143">
        <f t="shared" si="189"/>
        <v>-7.6078000549299585E-2</v>
      </c>
      <c r="I214" s="143">
        <f t="shared" si="189"/>
        <v>-7.6413255360623711E-2</v>
      </c>
      <c r="J214" s="143">
        <f t="shared" ref="J214:AQ214" si="190">ROUND(J137,2)/ROUND(J119,2)-1</f>
        <v>-7.6461295418641329E-2</v>
      </c>
      <c r="K214" s="143">
        <f t="shared" si="190"/>
        <v>-7.6371091747821751E-2</v>
      </c>
      <c r="L214" s="143">
        <f t="shared" si="190"/>
        <v>-7.6869322152340991E-2</v>
      </c>
      <c r="M214" s="143">
        <f t="shared" si="190"/>
        <v>-7.6595744680851063E-2</v>
      </c>
      <c r="N214" s="143">
        <f t="shared" si="190"/>
        <v>-7.6228686058174455E-2</v>
      </c>
      <c r="O214" s="143">
        <f t="shared" si="190"/>
        <v>-7.6568265682656844E-2</v>
      </c>
      <c r="P214" s="143">
        <f t="shared" si="190"/>
        <v>-7.6064908722109581E-2</v>
      </c>
      <c r="Q214" s="143">
        <f t="shared" si="190"/>
        <v>-7.6092292587138011E-2</v>
      </c>
      <c r="R214" s="143">
        <f t="shared" si="190"/>
        <v>-7.6274294096076223E-2</v>
      </c>
      <c r="S214" s="146">
        <f t="shared" si="190"/>
        <v>-7.6107133386369541E-2</v>
      </c>
      <c r="T214" s="143">
        <f t="shared" si="190"/>
        <v>-7.6595744680851174E-2</v>
      </c>
      <c r="U214" s="143">
        <f t="shared" si="190"/>
        <v>-7.6502732240437243E-2</v>
      </c>
      <c r="V214" s="143">
        <f t="shared" si="190"/>
        <v>-7.3529411764705954E-2</v>
      </c>
      <c r="W214" s="143">
        <f t="shared" si="190"/>
        <v>-7.6923076923076983E-2</v>
      </c>
      <c r="X214" s="143">
        <f t="shared" si="190"/>
        <v>-7.6086956521739246E-2</v>
      </c>
      <c r="Y214" s="143">
        <f t="shared" si="190"/>
        <v>-7.6923076923076983E-2</v>
      </c>
      <c r="Z214" s="143">
        <f t="shared" si="190"/>
        <v>-7.8125000000000111E-2</v>
      </c>
      <c r="AA214" s="143">
        <f t="shared" si="190"/>
        <v>-7.1428571428571286E-2</v>
      </c>
      <c r="AB214" s="143">
        <f t="shared" si="190"/>
        <v>-7.5757575757575801E-2</v>
      </c>
      <c r="AC214" s="143">
        <f t="shared" si="190"/>
        <v>-7.6335877862595436E-2</v>
      </c>
      <c r="AD214" s="143">
        <f t="shared" si="190"/>
        <v>-7.6923076923076983E-2</v>
      </c>
      <c r="AE214" s="146">
        <f t="shared" si="190"/>
        <v>-7.4074074074074181E-2</v>
      </c>
      <c r="AF214" s="143">
        <f t="shared" si="190"/>
        <v>-7.6595744680851174E-2</v>
      </c>
      <c r="AG214" s="143">
        <f t="shared" si="190"/>
        <v>-7.6502732240437243E-2</v>
      </c>
      <c r="AH214" s="143">
        <f t="shared" si="190"/>
        <v>-7.3529411764705954E-2</v>
      </c>
      <c r="AI214" s="143">
        <f t="shared" si="190"/>
        <v>-7.6923076923076983E-2</v>
      </c>
      <c r="AJ214" s="143">
        <f t="shared" si="190"/>
        <v>-7.6086956521739246E-2</v>
      </c>
      <c r="AK214" s="143">
        <f t="shared" si="190"/>
        <v>-7.6923076923076983E-2</v>
      </c>
      <c r="AL214" s="143">
        <f t="shared" si="190"/>
        <v>-7.8125000000000111E-2</v>
      </c>
      <c r="AM214" s="143">
        <f t="shared" si="190"/>
        <v>-7.1428571428571286E-2</v>
      </c>
      <c r="AN214" s="143">
        <f t="shared" si="190"/>
        <v>-7.5757575757575801E-2</v>
      </c>
      <c r="AO214" s="143">
        <f t="shared" si="190"/>
        <v>-7.6335877862595436E-2</v>
      </c>
      <c r="AP214" s="143">
        <f t="shared" si="190"/>
        <v>-7.6923076923076983E-2</v>
      </c>
      <c r="AQ214" s="191">
        <f t="shared" si="190"/>
        <v>-7.4074074074074181E-2</v>
      </c>
    </row>
    <row r="215" spans="2:43" ht="15.75" thickBot="1" x14ac:dyDescent="0.3">
      <c r="B215" s="192" t="s">
        <v>111</v>
      </c>
      <c r="C215" s="193">
        <f t="shared" ref="C215:AQ215" si="191">ROUND(C138,2)/ROUND(C120,2)-1</f>
        <v>-7.6290114023745081E-2</v>
      </c>
      <c r="D215" s="195">
        <f t="shared" si="191"/>
        <v>-7.6278830047674329E-2</v>
      </c>
      <c r="E215" s="195">
        <f t="shared" si="191"/>
        <v>-7.6494023904382313E-2</v>
      </c>
      <c r="F215" s="195">
        <f t="shared" si="191"/>
        <v>-7.6175670423630049E-2</v>
      </c>
      <c r="G215" s="193">
        <f t="shared" si="191"/>
        <v>-7.6167765465002146E-2</v>
      </c>
      <c r="H215" s="195">
        <f t="shared" si="191"/>
        <v>-7.6078000549299585E-2</v>
      </c>
      <c r="I215" s="195">
        <f t="shared" si="191"/>
        <v>-7.6413255360623711E-2</v>
      </c>
      <c r="J215" s="195">
        <f t="shared" si="191"/>
        <v>-7.6461295418641329E-2</v>
      </c>
      <c r="K215" s="195">
        <f t="shared" si="191"/>
        <v>-7.6371091747821751E-2</v>
      </c>
      <c r="L215" s="195">
        <f t="shared" si="191"/>
        <v>-7.6869322152340991E-2</v>
      </c>
      <c r="M215" s="195">
        <f t="shared" si="191"/>
        <v>-7.6595744680851063E-2</v>
      </c>
      <c r="N215" s="195">
        <f t="shared" si="191"/>
        <v>-7.6228686058174455E-2</v>
      </c>
      <c r="O215" s="195">
        <f t="shared" si="191"/>
        <v>-7.6568265682656844E-2</v>
      </c>
      <c r="P215" s="195">
        <f t="shared" si="191"/>
        <v>-7.6064908722109581E-2</v>
      </c>
      <c r="Q215" s="195">
        <f t="shared" si="191"/>
        <v>-7.6092292587138011E-2</v>
      </c>
      <c r="R215" s="195">
        <f t="shared" si="191"/>
        <v>-7.6274294096076223E-2</v>
      </c>
      <c r="S215" s="193">
        <f t="shared" si="191"/>
        <v>-7.6107133386369541E-2</v>
      </c>
      <c r="T215" s="195">
        <f t="shared" si="191"/>
        <v>-7.6595744680851174E-2</v>
      </c>
      <c r="U215" s="195">
        <f t="shared" si="191"/>
        <v>-7.6502732240437243E-2</v>
      </c>
      <c r="V215" s="195">
        <f t="shared" si="191"/>
        <v>-7.3529411764705954E-2</v>
      </c>
      <c r="W215" s="195">
        <f t="shared" si="191"/>
        <v>-7.6923076923076983E-2</v>
      </c>
      <c r="X215" s="195">
        <f t="shared" si="191"/>
        <v>-7.6086956521739246E-2</v>
      </c>
      <c r="Y215" s="195">
        <f t="shared" si="191"/>
        <v>-7.6923076923076983E-2</v>
      </c>
      <c r="Z215" s="195">
        <f t="shared" si="191"/>
        <v>-7.8125000000000111E-2</v>
      </c>
      <c r="AA215" s="195">
        <f t="shared" si="191"/>
        <v>-7.1428571428571286E-2</v>
      </c>
      <c r="AB215" s="195">
        <f t="shared" si="191"/>
        <v>-7.5757575757575801E-2</v>
      </c>
      <c r="AC215" s="195">
        <f t="shared" si="191"/>
        <v>-7.6335877862595436E-2</v>
      </c>
      <c r="AD215" s="195">
        <f t="shared" si="191"/>
        <v>-7.6923076923076983E-2</v>
      </c>
      <c r="AE215" s="193">
        <f t="shared" si="191"/>
        <v>-7.4074074074074181E-2</v>
      </c>
      <c r="AF215" s="195">
        <f t="shared" si="191"/>
        <v>-7.6595744680851174E-2</v>
      </c>
      <c r="AG215" s="195">
        <f t="shared" si="191"/>
        <v>-7.6502732240437243E-2</v>
      </c>
      <c r="AH215" s="195">
        <f t="shared" si="191"/>
        <v>-7.3529411764705954E-2</v>
      </c>
      <c r="AI215" s="195">
        <f t="shared" si="191"/>
        <v>-7.6923076923076983E-2</v>
      </c>
      <c r="AJ215" s="195">
        <f t="shared" si="191"/>
        <v>-7.6086956521739246E-2</v>
      </c>
      <c r="AK215" s="195">
        <f t="shared" si="191"/>
        <v>-7.6923076923076983E-2</v>
      </c>
      <c r="AL215" s="195">
        <f t="shared" si="191"/>
        <v>-7.8125000000000111E-2</v>
      </c>
      <c r="AM215" s="195">
        <f t="shared" si="191"/>
        <v>-7.1428571428571286E-2</v>
      </c>
      <c r="AN215" s="195">
        <f t="shared" si="191"/>
        <v>-7.5757575757575801E-2</v>
      </c>
      <c r="AO215" s="195">
        <f t="shared" si="191"/>
        <v>-7.6335877862595436E-2</v>
      </c>
      <c r="AP215" s="195">
        <f t="shared" si="191"/>
        <v>-7.6923076923076983E-2</v>
      </c>
      <c r="AQ215" s="208">
        <f t="shared" si="191"/>
        <v>-7.4074074074074181E-2</v>
      </c>
    </row>
    <row r="216" spans="2:43" ht="15.75" thickBot="1" x14ac:dyDescent="0.3"/>
    <row r="217" spans="2:43" ht="15.75" x14ac:dyDescent="0.25">
      <c r="B217" s="373" t="s">
        <v>118</v>
      </c>
      <c r="C217" s="374"/>
      <c r="D217" s="374"/>
      <c r="E217" s="374"/>
      <c r="F217" s="374"/>
      <c r="G217" s="374"/>
      <c r="H217" s="374"/>
      <c r="I217" s="374"/>
      <c r="J217" s="374"/>
      <c r="K217" s="374"/>
      <c r="L217" s="374"/>
      <c r="M217" s="374"/>
      <c r="N217" s="374"/>
      <c r="O217" s="374"/>
      <c r="P217" s="374"/>
      <c r="Q217" s="374"/>
      <c r="R217" s="374"/>
      <c r="S217" s="374"/>
      <c r="T217" s="374"/>
      <c r="U217" s="374"/>
      <c r="V217" s="374"/>
      <c r="W217" s="374"/>
      <c r="X217" s="374"/>
      <c r="Y217" s="374"/>
      <c r="Z217" s="374"/>
      <c r="AA217" s="374"/>
      <c r="AB217" s="374"/>
      <c r="AC217" s="374"/>
      <c r="AD217" s="374"/>
      <c r="AE217" s="374"/>
      <c r="AF217" s="374"/>
      <c r="AG217" s="374"/>
      <c r="AH217" s="374"/>
      <c r="AI217" s="374"/>
      <c r="AJ217" s="374"/>
      <c r="AK217" s="374"/>
      <c r="AL217" s="374"/>
      <c r="AM217" s="374"/>
      <c r="AN217" s="374"/>
      <c r="AO217" s="374"/>
      <c r="AP217" s="374"/>
      <c r="AQ217" s="375"/>
    </row>
    <row r="218" spans="2:43" ht="15" customHeight="1" x14ac:dyDescent="0.25">
      <c r="B218" s="190"/>
      <c r="C218" s="380" t="s">
        <v>123</v>
      </c>
      <c r="D218" s="376" t="s">
        <v>97</v>
      </c>
      <c r="E218" s="377"/>
      <c r="F218" s="377"/>
      <c r="G218" s="378"/>
      <c r="H218" s="376" t="s">
        <v>98</v>
      </c>
      <c r="I218" s="377"/>
      <c r="J218" s="377"/>
      <c r="K218" s="377"/>
      <c r="L218" s="377"/>
      <c r="M218" s="377"/>
      <c r="N218" s="377"/>
      <c r="O218" s="377"/>
      <c r="P218" s="377"/>
      <c r="Q218" s="377"/>
      <c r="R218" s="377"/>
      <c r="S218" s="378"/>
      <c r="T218" s="376" t="s">
        <v>99</v>
      </c>
      <c r="U218" s="377"/>
      <c r="V218" s="377"/>
      <c r="W218" s="377"/>
      <c r="X218" s="377"/>
      <c r="Y218" s="377"/>
      <c r="Z218" s="377"/>
      <c r="AA218" s="377"/>
      <c r="AB218" s="377"/>
      <c r="AC218" s="377"/>
      <c r="AD218" s="377"/>
      <c r="AE218" s="378"/>
      <c r="AF218" s="376" t="s">
        <v>100</v>
      </c>
      <c r="AG218" s="377"/>
      <c r="AH218" s="377"/>
      <c r="AI218" s="377"/>
      <c r="AJ218" s="377"/>
      <c r="AK218" s="377"/>
      <c r="AL218" s="377"/>
      <c r="AM218" s="377"/>
      <c r="AN218" s="377"/>
      <c r="AO218" s="377"/>
      <c r="AP218" s="377"/>
      <c r="AQ218" s="379"/>
    </row>
    <row r="219" spans="2:43" x14ac:dyDescent="0.25">
      <c r="B219" s="189"/>
      <c r="C219" s="381"/>
      <c r="D219" s="331" t="s">
        <v>9</v>
      </c>
      <c r="E219" s="332" t="s">
        <v>10</v>
      </c>
      <c r="F219" s="332" t="s">
        <v>11</v>
      </c>
      <c r="G219" s="333" t="s">
        <v>12</v>
      </c>
      <c r="H219" s="173" t="s">
        <v>35</v>
      </c>
      <c r="I219" s="165" t="s">
        <v>36</v>
      </c>
      <c r="J219" s="165" t="s">
        <v>37</v>
      </c>
      <c r="K219" s="165" t="s">
        <v>38</v>
      </c>
      <c r="L219" s="165" t="s">
        <v>39</v>
      </c>
      <c r="M219" s="165" t="s">
        <v>40</v>
      </c>
      <c r="N219" s="165" t="s">
        <v>41</v>
      </c>
      <c r="O219" s="165" t="s">
        <v>42</v>
      </c>
      <c r="P219" s="165" t="s">
        <v>43</v>
      </c>
      <c r="Q219" s="165" t="s">
        <v>44</v>
      </c>
      <c r="R219" s="165" t="s">
        <v>45</v>
      </c>
      <c r="S219" s="183" t="s">
        <v>46</v>
      </c>
      <c r="T219" s="173" t="s">
        <v>35</v>
      </c>
      <c r="U219" s="165" t="s">
        <v>36</v>
      </c>
      <c r="V219" s="165" t="s">
        <v>37</v>
      </c>
      <c r="W219" s="165" t="s">
        <v>38</v>
      </c>
      <c r="X219" s="165" t="s">
        <v>39</v>
      </c>
      <c r="Y219" s="165" t="s">
        <v>40</v>
      </c>
      <c r="Z219" s="165" t="s">
        <v>41</v>
      </c>
      <c r="AA219" s="165" t="s">
        <v>42</v>
      </c>
      <c r="AB219" s="165" t="s">
        <v>43</v>
      </c>
      <c r="AC219" s="165" t="s">
        <v>44</v>
      </c>
      <c r="AD219" s="165" t="s">
        <v>45</v>
      </c>
      <c r="AE219" s="183" t="s">
        <v>46</v>
      </c>
      <c r="AF219" s="174" t="s">
        <v>35</v>
      </c>
      <c r="AG219" s="165" t="s">
        <v>36</v>
      </c>
      <c r="AH219" s="165" t="s">
        <v>37</v>
      </c>
      <c r="AI219" s="165" t="s">
        <v>38</v>
      </c>
      <c r="AJ219" s="165" t="s">
        <v>39</v>
      </c>
      <c r="AK219" s="165" t="s">
        <v>40</v>
      </c>
      <c r="AL219" s="165" t="s">
        <v>41</v>
      </c>
      <c r="AM219" s="165" t="s">
        <v>42</v>
      </c>
      <c r="AN219" s="165" t="s">
        <v>43</v>
      </c>
      <c r="AO219" s="165" t="s">
        <v>44</v>
      </c>
      <c r="AP219" s="165" t="s">
        <v>45</v>
      </c>
      <c r="AQ219" s="334" t="s">
        <v>46</v>
      </c>
    </row>
    <row r="220" spans="2:43" x14ac:dyDescent="0.25">
      <c r="B220" s="190" t="s">
        <v>101</v>
      </c>
      <c r="C220" s="146">
        <f t="shared" ref="C220:AQ229" si="192">ROUND(C146,2)/ROUND(C128,2)-1</f>
        <v>0</v>
      </c>
      <c r="D220" s="143">
        <f>ROUND(D146,2)/ROUND(D128,2)-1</f>
        <v>8.5227272727272929E-3</v>
      </c>
      <c r="E220" s="143">
        <f t="shared" ref="E220:AQ220" si="193">ROUND(E146,2)/ROUND(E128,2)-1</f>
        <v>-2.5542784163473664E-3</v>
      </c>
      <c r="F220" s="143">
        <f t="shared" si="193"/>
        <v>-2.5265285497726442E-3</v>
      </c>
      <c r="G220" s="146">
        <f t="shared" si="193"/>
        <v>-2.5265285497726442E-3</v>
      </c>
      <c r="H220" s="143">
        <f t="shared" si="193"/>
        <v>-2.6385224274406704E-3</v>
      </c>
      <c r="I220" s="143">
        <f t="shared" si="193"/>
        <v>3.2870708546384408E-2</v>
      </c>
      <c r="J220" s="143">
        <f t="shared" si="193"/>
        <v>-2.6385224274406704E-3</v>
      </c>
      <c r="K220" s="143">
        <f t="shared" si="193"/>
        <v>-2.7266530334014716E-3</v>
      </c>
      <c r="L220" s="143">
        <f t="shared" si="193"/>
        <v>-2.6385224274406704E-3</v>
      </c>
      <c r="M220" s="143">
        <f t="shared" si="193"/>
        <v>-2.7266530334014716E-3</v>
      </c>
      <c r="N220" s="143">
        <f t="shared" si="193"/>
        <v>-2.6385224274406704E-3</v>
      </c>
      <c r="O220" s="143">
        <f t="shared" si="193"/>
        <v>-2.6385224274406704E-3</v>
      </c>
      <c r="P220" s="143">
        <f t="shared" si="193"/>
        <v>-2.7266530334014716E-3</v>
      </c>
      <c r="Q220" s="143">
        <f t="shared" si="193"/>
        <v>-2.6385224274406704E-3</v>
      </c>
      <c r="R220" s="143">
        <f t="shared" si="193"/>
        <v>-2.7266530334014716E-3</v>
      </c>
      <c r="S220" s="146">
        <f t="shared" si="193"/>
        <v>-2.6385224274406704E-3</v>
      </c>
      <c r="T220" s="143">
        <f t="shared" si="193"/>
        <v>0</v>
      </c>
      <c r="U220" s="143">
        <f t="shared" si="193"/>
        <v>0</v>
      </c>
      <c r="V220" s="143">
        <f t="shared" si="193"/>
        <v>0</v>
      </c>
      <c r="W220" s="143">
        <f t="shared" si="193"/>
        <v>0</v>
      </c>
      <c r="X220" s="143">
        <f t="shared" si="193"/>
        <v>0</v>
      </c>
      <c r="Y220" s="143">
        <f t="shared" si="193"/>
        <v>0</v>
      </c>
      <c r="Z220" s="143">
        <f t="shared" si="193"/>
        <v>0</v>
      </c>
      <c r="AA220" s="143">
        <f t="shared" si="193"/>
        <v>0</v>
      </c>
      <c r="AB220" s="143">
        <f t="shared" si="193"/>
        <v>0</v>
      </c>
      <c r="AC220" s="143">
        <f t="shared" si="193"/>
        <v>0</v>
      </c>
      <c r="AD220" s="143">
        <f t="shared" si="193"/>
        <v>0</v>
      </c>
      <c r="AE220" s="146">
        <f t="shared" si="193"/>
        <v>0</v>
      </c>
      <c r="AF220" s="143">
        <f t="shared" si="193"/>
        <v>0</v>
      </c>
      <c r="AG220" s="143">
        <f t="shared" si="193"/>
        <v>0</v>
      </c>
      <c r="AH220" s="143">
        <f t="shared" si="193"/>
        <v>0</v>
      </c>
      <c r="AI220" s="143">
        <f t="shared" si="193"/>
        <v>0</v>
      </c>
      <c r="AJ220" s="143">
        <f t="shared" si="193"/>
        <v>0</v>
      </c>
      <c r="AK220" s="143">
        <f t="shared" si="193"/>
        <v>0</v>
      </c>
      <c r="AL220" s="143">
        <f t="shared" si="193"/>
        <v>0</v>
      </c>
      <c r="AM220" s="143">
        <f t="shared" si="193"/>
        <v>0</v>
      </c>
      <c r="AN220" s="143">
        <f t="shared" si="193"/>
        <v>0</v>
      </c>
      <c r="AO220" s="143">
        <f t="shared" si="193"/>
        <v>0</v>
      </c>
      <c r="AP220" s="143">
        <f t="shared" si="193"/>
        <v>0</v>
      </c>
      <c r="AQ220" s="191">
        <f t="shared" si="193"/>
        <v>0</v>
      </c>
    </row>
    <row r="221" spans="2:43" x14ac:dyDescent="0.25">
      <c r="B221" s="213" t="s">
        <v>102</v>
      </c>
      <c r="C221" s="146">
        <v>0</v>
      </c>
      <c r="D221" s="143">
        <v>0</v>
      </c>
      <c r="E221" s="143">
        <v>0</v>
      </c>
      <c r="F221" s="143">
        <v>0</v>
      </c>
      <c r="G221" s="146">
        <v>0</v>
      </c>
      <c r="H221" s="143">
        <v>0</v>
      </c>
      <c r="I221" s="143">
        <v>0</v>
      </c>
      <c r="J221" s="143">
        <v>0</v>
      </c>
      <c r="K221" s="143">
        <v>0</v>
      </c>
      <c r="L221" s="143">
        <v>0</v>
      </c>
      <c r="M221" s="143">
        <v>0</v>
      </c>
      <c r="N221" s="143">
        <v>0</v>
      </c>
      <c r="O221" s="143">
        <v>0</v>
      </c>
      <c r="P221" s="143">
        <v>0</v>
      </c>
      <c r="Q221" s="143">
        <v>0</v>
      </c>
      <c r="R221" s="143">
        <v>0</v>
      </c>
      <c r="S221" s="146">
        <v>0</v>
      </c>
      <c r="T221" s="143">
        <v>0</v>
      </c>
      <c r="U221" s="143">
        <v>0</v>
      </c>
      <c r="V221" s="143">
        <v>0</v>
      </c>
      <c r="W221" s="143">
        <v>0</v>
      </c>
      <c r="X221" s="143">
        <v>0</v>
      </c>
      <c r="Y221" s="143">
        <v>0</v>
      </c>
      <c r="Z221" s="143">
        <v>0</v>
      </c>
      <c r="AA221" s="143">
        <v>0</v>
      </c>
      <c r="AB221" s="143">
        <v>0</v>
      </c>
      <c r="AC221" s="143">
        <v>0</v>
      </c>
      <c r="AD221" s="143">
        <v>0</v>
      </c>
      <c r="AE221" s="146">
        <v>0</v>
      </c>
      <c r="AF221" s="143">
        <v>0</v>
      </c>
      <c r="AG221" s="143">
        <v>0</v>
      </c>
      <c r="AH221" s="143">
        <v>0</v>
      </c>
      <c r="AI221" s="143">
        <v>0</v>
      </c>
      <c r="AJ221" s="143">
        <v>0</v>
      </c>
      <c r="AK221" s="143">
        <v>0</v>
      </c>
      <c r="AL221" s="143">
        <v>0</v>
      </c>
      <c r="AM221" s="143">
        <v>0</v>
      </c>
      <c r="AN221" s="143">
        <v>0</v>
      </c>
      <c r="AO221" s="143">
        <v>0</v>
      </c>
      <c r="AP221" s="143">
        <v>0</v>
      </c>
      <c r="AQ221" s="191">
        <v>0</v>
      </c>
    </row>
    <row r="222" spans="2:43" x14ac:dyDescent="0.25">
      <c r="B222" s="190" t="s">
        <v>103</v>
      </c>
      <c r="C222" s="146">
        <f t="shared" si="192"/>
        <v>0</v>
      </c>
      <c r="D222" s="143">
        <f t="shared" si="192"/>
        <v>8.5227272727272929E-3</v>
      </c>
      <c r="E222" s="143">
        <f t="shared" si="192"/>
        <v>-2.5542784163473664E-3</v>
      </c>
      <c r="F222" s="143">
        <f t="shared" si="192"/>
        <v>-2.5265285497726442E-3</v>
      </c>
      <c r="G222" s="146">
        <f t="shared" si="192"/>
        <v>-2.5265285497726442E-3</v>
      </c>
      <c r="H222" s="143">
        <f t="shared" si="192"/>
        <v>-2.6385224274406704E-3</v>
      </c>
      <c r="I222" s="143">
        <f t="shared" si="192"/>
        <v>3.2870708546384408E-2</v>
      </c>
      <c r="J222" s="143">
        <f t="shared" si="192"/>
        <v>-2.6385224274406704E-3</v>
      </c>
      <c r="K222" s="143">
        <f t="shared" si="192"/>
        <v>-2.7266530334014716E-3</v>
      </c>
      <c r="L222" s="143">
        <f t="shared" si="192"/>
        <v>-2.6385224274406704E-3</v>
      </c>
      <c r="M222" s="143">
        <f t="shared" si="192"/>
        <v>-2.7266530334014716E-3</v>
      </c>
      <c r="N222" s="143">
        <f t="shared" si="192"/>
        <v>-2.6385224274406704E-3</v>
      </c>
      <c r="O222" s="143">
        <f t="shared" si="192"/>
        <v>-2.6385224274406704E-3</v>
      </c>
      <c r="P222" s="143">
        <f t="shared" si="192"/>
        <v>-2.7266530334014716E-3</v>
      </c>
      <c r="Q222" s="143">
        <f t="shared" si="192"/>
        <v>-2.6385224274406704E-3</v>
      </c>
      <c r="R222" s="143">
        <f t="shared" si="192"/>
        <v>-2.7266530334014716E-3</v>
      </c>
      <c r="S222" s="146">
        <f t="shared" si="192"/>
        <v>-2.6385224274406704E-3</v>
      </c>
      <c r="T222" s="143">
        <f t="shared" si="192"/>
        <v>0</v>
      </c>
      <c r="U222" s="143">
        <f t="shared" si="192"/>
        <v>0</v>
      </c>
      <c r="V222" s="143">
        <f t="shared" si="192"/>
        <v>0</v>
      </c>
      <c r="W222" s="143">
        <f t="shared" si="192"/>
        <v>0</v>
      </c>
      <c r="X222" s="143">
        <f t="shared" si="192"/>
        <v>0</v>
      </c>
      <c r="Y222" s="143">
        <f t="shared" si="192"/>
        <v>0</v>
      </c>
      <c r="Z222" s="143">
        <f t="shared" si="192"/>
        <v>0</v>
      </c>
      <c r="AA222" s="143">
        <f t="shared" si="192"/>
        <v>0</v>
      </c>
      <c r="AB222" s="143">
        <f t="shared" si="192"/>
        <v>0</v>
      </c>
      <c r="AC222" s="143">
        <f t="shared" si="192"/>
        <v>0</v>
      </c>
      <c r="AD222" s="143">
        <f t="shared" si="192"/>
        <v>0</v>
      </c>
      <c r="AE222" s="146">
        <f t="shared" si="192"/>
        <v>0</v>
      </c>
      <c r="AF222" s="143">
        <f t="shared" si="192"/>
        <v>0</v>
      </c>
      <c r="AG222" s="143">
        <f t="shared" si="192"/>
        <v>0</v>
      </c>
      <c r="AH222" s="143">
        <f t="shared" si="192"/>
        <v>0</v>
      </c>
      <c r="AI222" s="143">
        <f t="shared" si="192"/>
        <v>0</v>
      </c>
      <c r="AJ222" s="143">
        <f t="shared" si="192"/>
        <v>0</v>
      </c>
      <c r="AK222" s="143">
        <f t="shared" si="192"/>
        <v>0</v>
      </c>
      <c r="AL222" s="143">
        <f t="shared" si="192"/>
        <v>0</v>
      </c>
      <c r="AM222" s="143">
        <f t="shared" si="192"/>
        <v>0</v>
      </c>
      <c r="AN222" s="143">
        <f t="shared" si="192"/>
        <v>0</v>
      </c>
      <c r="AO222" s="143">
        <f t="shared" si="192"/>
        <v>0</v>
      </c>
      <c r="AP222" s="143">
        <f t="shared" si="192"/>
        <v>0</v>
      </c>
      <c r="AQ222" s="191">
        <f t="shared" si="192"/>
        <v>0</v>
      </c>
    </row>
    <row r="223" spans="2:43" x14ac:dyDescent="0.25">
      <c r="B223" s="190" t="s">
        <v>104</v>
      </c>
      <c r="C223" s="146">
        <f t="shared" si="192"/>
        <v>0</v>
      </c>
      <c r="D223" s="143">
        <f t="shared" si="192"/>
        <v>8.5227272727272929E-3</v>
      </c>
      <c r="E223" s="143">
        <f t="shared" si="192"/>
        <v>-2.5542784163473664E-3</v>
      </c>
      <c r="F223" s="143">
        <f t="shared" si="192"/>
        <v>-2.5265285497726442E-3</v>
      </c>
      <c r="G223" s="146">
        <f t="shared" si="192"/>
        <v>-2.5265285497726442E-3</v>
      </c>
      <c r="H223" s="143">
        <f t="shared" si="192"/>
        <v>-2.6385224274406704E-3</v>
      </c>
      <c r="I223" s="143">
        <f t="shared" si="192"/>
        <v>3.2870708546384408E-2</v>
      </c>
      <c r="J223" s="143">
        <f t="shared" si="192"/>
        <v>-2.6385224274406704E-3</v>
      </c>
      <c r="K223" s="143">
        <f t="shared" si="192"/>
        <v>-2.7266530334014716E-3</v>
      </c>
      <c r="L223" s="143">
        <f t="shared" si="192"/>
        <v>-2.6385224274406704E-3</v>
      </c>
      <c r="M223" s="143">
        <f t="shared" si="192"/>
        <v>-2.7266530334014716E-3</v>
      </c>
      <c r="N223" s="143">
        <f t="shared" si="192"/>
        <v>-2.6385224274406704E-3</v>
      </c>
      <c r="O223" s="143">
        <f t="shared" si="192"/>
        <v>-2.6385224274406704E-3</v>
      </c>
      <c r="P223" s="143">
        <f t="shared" si="192"/>
        <v>-2.7266530334014716E-3</v>
      </c>
      <c r="Q223" s="143">
        <f t="shared" si="192"/>
        <v>-2.6385224274406704E-3</v>
      </c>
      <c r="R223" s="143">
        <f t="shared" si="192"/>
        <v>-2.7266530334014716E-3</v>
      </c>
      <c r="S223" s="146">
        <f t="shared" si="192"/>
        <v>-2.6385224274406704E-3</v>
      </c>
      <c r="T223" s="143">
        <f t="shared" si="192"/>
        <v>0</v>
      </c>
      <c r="U223" s="143">
        <f t="shared" si="192"/>
        <v>0</v>
      </c>
      <c r="V223" s="143">
        <f t="shared" si="192"/>
        <v>0</v>
      </c>
      <c r="W223" s="143">
        <f t="shared" si="192"/>
        <v>0</v>
      </c>
      <c r="X223" s="143">
        <f t="shared" si="192"/>
        <v>0</v>
      </c>
      <c r="Y223" s="143">
        <f t="shared" si="192"/>
        <v>0</v>
      </c>
      <c r="Z223" s="143">
        <f t="shared" si="192"/>
        <v>0</v>
      </c>
      <c r="AA223" s="143">
        <f t="shared" si="192"/>
        <v>0</v>
      </c>
      <c r="AB223" s="143">
        <f t="shared" si="192"/>
        <v>0</v>
      </c>
      <c r="AC223" s="143">
        <f t="shared" si="192"/>
        <v>0</v>
      </c>
      <c r="AD223" s="143">
        <f t="shared" si="192"/>
        <v>0</v>
      </c>
      <c r="AE223" s="146">
        <f t="shared" si="192"/>
        <v>0</v>
      </c>
      <c r="AF223" s="143">
        <f t="shared" si="192"/>
        <v>0</v>
      </c>
      <c r="AG223" s="143">
        <f t="shared" si="192"/>
        <v>0</v>
      </c>
      <c r="AH223" s="143">
        <f t="shared" si="192"/>
        <v>0</v>
      </c>
      <c r="AI223" s="143">
        <f t="shared" si="192"/>
        <v>0</v>
      </c>
      <c r="AJ223" s="143">
        <f t="shared" si="192"/>
        <v>0</v>
      </c>
      <c r="AK223" s="143">
        <f t="shared" si="192"/>
        <v>0</v>
      </c>
      <c r="AL223" s="143">
        <f t="shared" si="192"/>
        <v>0</v>
      </c>
      <c r="AM223" s="143">
        <f t="shared" si="192"/>
        <v>0</v>
      </c>
      <c r="AN223" s="143">
        <f t="shared" si="192"/>
        <v>0</v>
      </c>
      <c r="AO223" s="143">
        <f t="shared" si="192"/>
        <v>0</v>
      </c>
      <c r="AP223" s="143">
        <f t="shared" si="192"/>
        <v>0</v>
      </c>
      <c r="AQ223" s="191">
        <f t="shared" si="192"/>
        <v>0</v>
      </c>
    </row>
    <row r="224" spans="2:43" x14ac:dyDescent="0.25">
      <c r="B224" s="190" t="s">
        <v>105</v>
      </c>
      <c r="C224" s="146">
        <f t="shared" si="192"/>
        <v>0</v>
      </c>
      <c r="D224" s="143">
        <f t="shared" si="192"/>
        <v>8.5227272727272929E-3</v>
      </c>
      <c r="E224" s="143">
        <f t="shared" si="192"/>
        <v>-2.5542784163473664E-3</v>
      </c>
      <c r="F224" s="143">
        <f t="shared" si="192"/>
        <v>-2.5265285497726442E-3</v>
      </c>
      <c r="G224" s="146">
        <f t="shared" si="192"/>
        <v>-2.5265285497726442E-3</v>
      </c>
      <c r="H224" s="143">
        <f t="shared" si="192"/>
        <v>-2.6385224274406704E-3</v>
      </c>
      <c r="I224" s="143">
        <f t="shared" si="192"/>
        <v>3.2870708546384408E-2</v>
      </c>
      <c r="J224" s="143">
        <f t="shared" si="192"/>
        <v>-2.6385224274406704E-3</v>
      </c>
      <c r="K224" s="143">
        <f t="shared" si="192"/>
        <v>-2.7266530334014716E-3</v>
      </c>
      <c r="L224" s="143">
        <f t="shared" si="192"/>
        <v>-2.6385224274406704E-3</v>
      </c>
      <c r="M224" s="143">
        <f t="shared" si="192"/>
        <v>-2.7266530334014716E-3</v>
      </c>
      <c r="N224" s="143">
        <f t="shared" si="192"/>
        <v>-2.6385224274406704E-3</v>
      </c>
      <c r="O224" s="143">
        <f t="shared" si="192"/>
        <v>-2.6385224274406704E-3</v>
      </c>
      <c r="P224" s="143">
        <f t="shared" si="192"/>
        <v>-2.7266530334014716E-3</v>
      </c>
      <c r="Q224" s="143">
        <f t="shared" si="192"/>
        <v>-2.6385224274406704E-3</v>
      </c>
      <c r="R224" s="143">
        <f t="shared" si="192"/>
        <v>-2.7266530334014716E-3</v>
      </c>
      <c r="S224" s="146">
        <f t="shared" si="192"/>
        <v>-2.6385224274406704E-3</v>
      </c>
      <c r="T224" s="143">
        <f t="shared" si="192"/>
        <v>0</v>
      </c>
      <c r="U224" s="143">
        <f t="shared" si="192"/>
        <v>0</v>
      </c>
      <c r="V224" s="143">
        <f t="shared" si="192"/>
        <v>0</v>
      </c>
      <c r="W224" s="143">
        <f t="shared" si="192"/>
        <v>0</v>
      </c>
      <c r="X224" s="143">
        <f t="shared" si="192"/>
        <v>0</v>
      </c>
      <c r="Y224" s="143">
        <f t="shared" si="192"/>
        <v>0</v>
      </c>
      <c r="Z224" s="143">
        <f t="shared" si="192"/>
        <v>0</v>
      </c>
      <c r="AA224" s="143">
        <f t="shared" si="192"/>
        <v>0</v>
      </c>
      <c r="AB224" s="143">
        <f t="shared" si="192"/>
        <v>0</v>
      </c>
      <c r="AC224" s="143">
        <f t="shared" si="192"/>
        <v>0</v>
      </c>
      <c r="AD224" s="143">
        <f t="shared" si="192"/>
        <v>0</v>
      </c>
      <c r="AE224" s="146">
        <f t="shared" si="192"/>
        <v>0</v>
      </c>
      <c r="AF224" s="143">
        <f t="shared" si="192"/>
        <v>0</v>
      </c>
      <c r="AG224" s="143">
        <f t="shared" si="192"/>
        <v>0</v>
      </c>
      <c r="AH224" s="143">
        <f t="shared" si="192"/>
        <v>0</v>
      </c>
      <c r="AI224" s="143">
        <f t="shared" si="192"/>
        <v>0</v>
      </c>
      <c r="AJ224" s="143">
        <f t="shared" si="192"/>
        <v>0</v>
      </c>
      <c r="AK224" s="143">
        <f t="shared" si="192"/>
        <v>0</v>
      </c>
      <c r="AL224" s="143">
        <f t="shared" si="192"/>
        <v>0</v>
      </c>
      <c r="AM224" s="143">
        <f t="shared" si="192"/>
        <v>0</v>
      </c>
      <c r="AN224" s="143">
        <f t="shared" si="192"/>
        <v>0</v>
      </c>
      <c r="AO224" s="143">
        <f t="shared" si="192"/>
        <v>0</v>
      </c>
      <c r="AP224" s="143">
        <f t="shared" si="192"/>
        <v>0</v>
      </c>
      <c r="AQ224" s="191">
        <f t="shared" si="192"/>
        <v>0</v>
      </c>
    </row>
    <row r="225" spans="2:43" x14ac:dyDescent="0.25">
      <c r="B225" s="190" t="s">
        <v>106</v>
      </c>
      <c r="C225" s="146">
        <f t="shared" si="192"/>
        <v>0</v>
      </c>
      <c r="D225" s="143">
        <f t="shared" si="192"/>
        <v>8.5227272727272929E-3</v>
      </c>
      <c r="E225" s="143">
        <f t="shared" si="192"/>
        <v>-2.5542784163473664E-3</v>
      </c>
      <c r="F225" s="143">
        <f t="shared" si="192"/>
        <v>-2.5265285497726442E-3</v>
      </c>
      <c r="G225" s="146">
        <f t="shared" si="192"/>
        <v>-2.5265285497726442E-3</v>
      </c>
      <c r="H225" s="143">
        <f t="shared" si="192"/>
        <v>-2.6385224274406704E-3</v>
      </c>
      <c r="I225" s="143">
        <f t="shared" si="192"/>
        <v>3.2870708546384408E-2</v>
      </c>
      <c r="J225" s="143">
        <f t="shared" si="192"/>
        <v>-2.6385224274406704E-3</v>
      </c>
      <c r="K225" s="143">
        <f t="shared" si="192"/>
        <v>-2.7266530334014716E-3</v>
      </c>
      <c r="L225" s="143">
        <f t="shared" si="192"/>
        <v>-2.6385224274406704E-3</v>
      </c>
      <c r="M225" s="143">
        <f t="shared" si="192"/>
        <v>-2.7266530334014716E-3</v>
      </c>
      <c r="N225" s="143">
        <f t="shared" si="192"/>
        <v>-2.6385224274406704E-3</v>
      </c>
      <c r="O225" s="143">
        <f t="shared" si="192"/>
        <v>-2.6385224274406704E-3</v>
      </c>
      <c r="P225" s="143">
        <f t="shared" si="192"/>
        <v>-2.7266530334014716E-3</v>
      </c>
      <c r="Q225" s="143">
        <f t="shared" si="192"/>
        <v>-2.6385224274406704E-3</v>
      </c>
      <c r="R225" s="143">
        <f t="shared" si="192"/>
        <v>-2.7266530334014716E-3</v>
      </c>
      <c r="S225" s="146">
        <f t="shared" si="192"/>
        <v>-2.6385224274406704E-3</v>
      </c>
      <c r="T225" s="143">
        <f t="shared" si="192"/>
        <v>0</v>
      </c>
      <c r="U225" s="143">
        <f t="shared" si="192"/>
        <v>0</v>
      </c>
      <c r="V225" s="143">
        <f t="shared" si="192"/>
        <v>0</v>
      </c>
      <c r="W225" s="143">
        <f t="shared" si="192"/>
        <v>0</v>
      </c>
      <c r="X225" s="143">
        <f t="shared" si="192"/>
        <v>0</v>
      </c>
      <c r="Y225" s="143">
        <f t="shared" si="192"/>
        <v>0</v>
      </c>
      <c r="Z225" s="143">
        <f t="shared" si="192"/>
        <v>0</v>
      </c>
      <c r="AA225" s="143">
        <f t="shared" si="192"/>
        <v>0</v>
      </c>
      <c r="AB225" s="143">
        <f t="shared" si="192"/>
        <v>0</v>
      </c>
      <c r="AC225" s="143">
        <f t="shared" si="192"/>
        <v>0</v>
      </c>
      <c r="AD225" s="143">
        <f t="shared" si="192"/>
        <v>0</v>
      </c>
      <c r="AE225" s="146">
        <f t="shared" si="192"/>
        <v>0</v>
      </c>
      <c r="AF225" s="143">
        <f t="shared" si="192"/>
        <v>0</v>
      </c>
      <c r="AG225" s="143">
        <f t="shared" si="192"/>
        <v>0</v>
      </c>
      <c r="AH225" s="143">
        <f t="shared" si="192"/>
        <v>0</v>
      </c>
      <c r="AI225" s="143">
        <f t="shared" si="192"/>
        <v>0</v>
      </c>
      <c r="AJ225" s="143">
        <f t="shared" si="192"/>
        <v>0</v>
      </c>
      <c r="AK225" s="143">
        <f t="shared" si="192"/>
        <v>0</v>
      </c>
      <c r="AL225" s="143">
        <f t="shared" si="192"/>
        <v>0</v>
      </c>
      <c r="AM225" s="143">
        <f t="shared" si="192"/>
        <v>0</v>
      </c>
      <c r="AN225" s="143">
        <f t="shared" si="192"/>
        <v>0</v>
      </c>
      <c r="AO225" s="143">
        <f t="shared" si="192"/>
        <v>0</v>
      </c>
      <c r="AP225" s="143">
        <f t="shared" si="192"/>
        <v>0</v>
      </c>
      <c r="AQ225" s="191">
        <f t="shared" si="192"/>
        <v>0</v>
      </c>
    </row>
    <row r="226" spans="2:43" x14ac:dyDescent="0.25">
      <c r="B226" s="190" t="s">
        <v>107</v>
      </c>
      <c r="C226" s="146">
        <f>ROUND(C152,2)/ROUND(C134,2)-1</f>
        <v>6.12115041995418E-2</v>
      </c>
      <c r="D226" s="143">
        <f t="shared" ref="D226:AQ226" si="194">ROUND(D152,2)/ROUND(D134,2)-1</f>
        <v>6.9903823598404857E-2</v>
      </c>
      <c r="E226" s="143">
        <f t="shared" si="194"/>
        <v>5.8236658932714569E-2</v>
      </c>
      <c r="F226" s="143">
        <f t="shared" si="194"/>
        <v>5.8526509065870869E-2</v>
      </c>
      <c r="G226" s="146">
        <f t="shared" si="194"/>
        <v>5.8526509065870869E-2</v>
      </c>
      <c r="H226" s="143">
        <f t="shared" si="194"/>
        <v>5.8752997601918544E-2</v>
      </c>
      <c r="I226" s="143">
        <f t="shared" si="194"/>
        <v>9.6217650962176382E-2</v>
      </c>
      <c r="J226" s="143">
        <f t="shared" si="194"/>
        <v>5.8752997601918544E-2</v>
      </c>
      <c r="K226" s="143">
        <f t="shared" si="194"/>
        <v>5.8204334365325128E-2</v>
      </c>
      <c r="L226" s="143">
        <f t="shared" si="194"/>
        <v>5.8752997601918544E-2</v>
      </c>
      <c r="M226" s="143">
        <f t="shared" si="194"/>
        <v>5.8204334365325128E-2</v>
      </c>
      <c r="N226" s="143">
        <f t="shared" si="194"/>
        <v>5.8752997601918544E-2</v>
      </c>
      <c r="O226" s="143">
        <f t="shared" si="194"/>
        <v>5.8752997601918544E-2</v>
      </c>
      <c r="P226" s="143">
        <f t="shared" si="194"/>
        <v>5.8204334365325128E-2</v>
      </c>
      <c r="Q226" s="143">
        <f t="shared" si="194"/>
        <v>5.8752997601918544E-2</v>
      </c>
      <c r="R226" s="143">
        <f t="shared" si="194"/>
        <v>5.8204334365325128E-2</v>
      </c>
      <c r="S226" s="146">
        <f t="shared" si="194"/>
        <v>5.8752997601918544E-2</v>
      </c>
      <c r="T226" s="143">
        <f t="shared" si="194"/>
        <v>4.6153846153846212E-2</v>
      </c>
      <c r="U226" s="143">
        <f t="shared" si="194"/>
        <v>4.6153846153846212E-2</v>
      </c>
      <c r="V226" s="143">
        <f t="shared" si="194"/>
        <v>4.6153846153846212E-2</v>
      </c>
      <c r="W226" s="143">
        <f t="shared" si="194"/>
        <v>4.6153846153846212E-2</v>
      </c>
      <c r="X226" s="143">
        <f t="shared" si="194"/>
        <v>4.6153846153846212E-2</v>
      </c>
      <c r="Y226" s="143">
        <f t="shared" si="194"/>
        <v>4.6153846153846212E-2</v>
      </c>
      <c r="Z226" s="143">
        <f t="shared" si="194"/>
        <v>4.6153846153846212E-2</v>
      </c>
      <c r="AA226" s="143">
        <f t="shared" si="194"/>
        <v>4.6153846153846212E-2</v>
      </c>
      <c r="AB226" s="143">
        <f t="shared" si="194"/>
        <v>4.6153846153846212E-2</v>
      </c>
      <c r="AC226" s="143">
        <f t="shared" si="194"/>
        <v>4.6153846153846212E-2</v>
      </c>
      <c r="AD226" s="143">
        <f t="shared" si="194"/>
        <v>4.6153846153846212E-2</v>
      </c>
      <c r="AE226" s="146">
        <f t="shared" si="194"/>
        <v>4.6153846153846212E-2</v>
      </c>
      <c r="AF226" s="143">
        <f t="shared" si="194"/>
        <v>5.4794520547945202E-2</v>
      </c>
      <c r="AG226" s="143">
        <f t="shared" si="194"/>
        <v>5.4794520547945202E-2</v>
      </c>
      <c r="AH226" s="143">
        <f t="shared" si="194"/>
        <v>5.4794520547945202E-2</v>
      </c>
      <c r="AI226" s="143">
        <f t="shared" si="194"/>
        <v>5.4794520547945202E-2</v>
      </c>
      <c r="AJ226" s="143">
        <f t="shared" si="194"/>
        <v>5.4794520547945202E-2</v>
      </c>
      <c r="AK226" s="143">
        <f t="shared" si="194"/>
        <v>5.4794520547945202E-2</v>
      </c>
      <c r="AL226" s="143">
        <f t="shared" si="194"/>
        <v>5.4794520547945202E-2</v>
      </c>
      <c r="AM226" s="143">
        <f t="shared" si="194"/>
        <v>5.4794520547945202E-2</v>
      </c>
      <c r="AN226" s="143">
        <f t="shared" si="194"/>
        <v>5.4794520547945202E-2</v>
      </c>
      <c r="AO226" s="143">
        <f t="shared" si="194"/>
        <v>5.4794520547945202E-2</v>
      </c>
      <c r="AP226" s="143">
        <f t="shared" si="194"/>
        <v>5.4794520547945202E-2</v>
      </c>
      <c r="AQ226" s="191">
        <f t="shared" si="194"/>
        <v>5.4794520547945202E-2</v>
      </c>
    </row>
    <row r="227" spans="2:43" x14ac:dyDescent="0.25">
      <c r="B227" s="190" t="s">
        <v>108</v>
      </c>
      <c r="C227" s="146">
        <f t="shared" si="192"/>
        <v>6.12115041995418E-2</v>
      </c>
      <c r="D227" s="143">
        <f t="shared" si="192"/>
        <v>7.0163202678197756E-2</v>
      </c>
      <c r="E227" s="143">
        <f t="shared" si="192"/>
        <v>5.8383664078228259E-2</v>
      </c>
      <c r="F227" s="143">
        <f t="shared" si="192"/>
        <v>5.8056373580142928E-2</v>
      </c>
      <c r="G227" s="146">
        <f t="shared" si="192"/>
        <v>5.8305496507743859E-2</v>
      </c>
      <c r="H227" s="143">
        <f t="shared" si="192"/>
        <v>5.8263971462544584E-2</v>
      </c>
      <c r="I227" s="143">
        <f t="shared" si="192"/>
        <v>9.6243140565639429E-2</v>
      </c>
      <c r="J227" s="143">
        <f t="shared" si="192"/>
        <v>5.8501539514197676E-2</v>
      </c>
      <c r="K227" s="143">
        <f t="shared" si="192"/>
        <v>5.8268590455049951E-2</v>
      </c>
      <c r="L227" s="143">
        <f t="shared" si="192"/>
        <v>5.9046177138531331E-2</v>
      </c>
      <c r="M227" s="143">
        <f t="shared" si="192"/>
        <v>5.8064516129032295E-2</v>
      </c>
      <c r="N227" s="143">
        <f t="shared" si="192"/>
        <v>5.8631921824104039E-2</v>
      </c>
      <c r="O227" s="143">
        <f t="shared" si="192"/>
        <v>5.7942057942057978E-2</v>
      </c>
      <c r="P227" s="143">
        <f t="shared" si="192"/>
        <v>5.8177826564215218E-2</v>
      </c>
      <c r="Q227" s="143">
        <f t="shared" si="192"/>
        <v>5.8448459086078763E-2</v>
      </c>
      <c r="R227" s="143">
        <f t="shared" si="192"/>
        <v>5.8356490670901096E-2</v>
      </c>
      <c r="S227" s="146">
        <f t="shared" si="192"/>
        <v>5.8266360505166315E-2</v>
      </c>
      <c r="T227" s="143">
        <f t="shared" si="192"/>
        <v>5.990783410138234E-2</v>
      </c>
      <c r="U227" s="143">
        <f t="shared" si="192"/>
        <v>5.9171597633136175E-2</v>
      </c>
      <c r="V227" s="143">
        <f t="shared" si="192"/>
        <v>5.8201058201058364E-2</v>
      </c>
      <c r="W227" s="143">
        <f t="shared" si="192"/>
        <v>5.8333333333333348E-2</v>
      </c>
      <c r="X227" s="143">
        <f t="shared" si="192"/>
        <v>5.8823529411764719E-2</v>
      </c>
      <c r="Y227" s="143">
        <f t="shared" si="192"/>
        <v>6.944444444444442E-2</v>
      </c>
      <c r="Z227" s="143">
        <f t="shared" si="192"/>
        <v>6.7796610169491567E-2</v>
      </c>
      <c r="AA227" s="143">
        <f t="shared" si="192"/>
        <v>4.6153846153846212E-2</v>
      </c>
      <c r="AB227" s="143">
        <f t="shared" si="192"/>
        <v>4.9180327868852514E-2</v>
      </c>
      <c r="AC227" s="143">
        <f t="shared" si="192"/>
        <v>6.6115702479338845E-2</v>
      </c>
      <c r="AD227" s="143">
        <f t="shared" si="192"/>
        <v>5.9523809523809534E-2</v>
      </c>
      <c r="AE227" s="146">
        <f t="shared" si="192"/>
        <v>5.7777777777777706E-2</v>
      </c>
      <c r="AF227" s="143">
        <f t="shared" si="192"/>
        <v>5.990783410138234E-2</v>
      </c>
      <c r="AG227" s="143">
        <f t="shared" si="192"/>
        <v>5.9171597633136175E-2</v>
      </c>
      <c r="AH227" s="143">
        <f t="shared" si="192"/>
        <v>5.8201058201058364E-2</v>
      </c>
      <c r="AI227" s="143">
        <f t="shared" si="192"/>
        <v>5.8333333333333348E-2</v>
      </c>
      <c r="AJ227" s="143">
        <f t="shared" si="192"/>
        <v>5.8823529411764719E-2</v>
      </c>
      <c r="AK227" s="143">
        <f t="shared" si="192"/>
        <v>6.944444444444442E-2</v>
      </c>
      <c r="AL227" s="143">
        <f t="shared" si="192"/>
        <v>6.7796610169491567E-2</v>
      </c>
      <c r="AM227" s="143">
        <f t="shared" si="192"/>
        <v>4.6153846153846212E-2</v>
      </c>
      <c r="AN227" s="143">
        <f t="shared" si="192"/>
        <v>4.9180327868852514E-2</v>
      </c>
      <c r="AO227" s="143">
        <f t="shared" si="192"/>
        <v>6.6115702479338845E-2</v>
      </c>
      <c r="AP227" s="143">
        <f t="shared" si="192"/>
        <v>5.9523809523809534E-2</v>
      </c>
      <c r="AQ227" s="191">
        <f t="shared" si="192"/>
        <v>5.7777777777777706E-2</v>
      </c>
    </row>
    <row r="228" spans="2:43" x14ac:dyDescent="0.25">
      <c r="B228" s="190" t="s">
        <v>109</v>
      </c>
      <c r="C228" s="146">
        <f t="shared" si="192"/>
        <v>6.12115041995418E-2</v>
      </c>
      <c r="D228" s="143">
        <f t="shared" si="192"/>
        <v>6.9903823598404857E-2</v>
      </c>
      <c r="E228" s="143">
        <f t="shared" si="192"/>
        <v>5.8236658932714569E-2</v>
      </c>
      <c r="F228" s="143">
        <f t="shared" si="192"/>
        <v>5.8526509065870869E-2</v>
      </c>
      <c r="G228" s="146">
        <f t="shared" si="192"/>
        <v>5.8526509065870869E-2</v>
      </c>
      <c r="H228" s="143">
        <f t="shared" si="192"/>
        <v>5.8752997601918544E-2</v>
      </c>
      <c r="I228" s="143">
        <f t="shared" si="192"/>
        <v>9.6217650962176382E-2</v>
      </c>
      <c r="J228" s="143">
        <f t="shared" si="192"/>
        <v>5.8752997601918544E-2</v>
      </c>
      <c r="K228" s="143">
        <f t="shared" si="192"/>
        <v>5.8204334365325128E-2</v>
      </c>
      <c r="L228" s="143">
        <f t="shared" si="192"/>
        <v>5.8752997601918544E-2</v>
      </c>
      <c r="M228" s="143">
        <f t="shared" si="192"/>
        <v>5.8204334365325128E-2</v>
      </c>
      <c r="N228" s="143">
        <f t="shared" si="192"/>
        <v>5.8752997601918544E-2</v>
      </c>
      <c r="O228" s="143">
        <f t="shared" si="192"/>
        <v>5.8752997601918544E-2</v>
      </c>
      <c r="P228" s="143">
        <f t="shared" si="192"/>
        <v>5.8204334365325128E-2</v>
      </c>
      <c r="Q228" s="143">
        <f t="shared" si="192"/>
        <v>5.8752997601918544E-2</v>
      </c>
      <c r="R228" s="143">
        <f t="shared" si="192"/>
        <v>5.8204334365325128E-2</v>
      </c>
      <c r="S228" s="146">
        <f t="shared" si="192"/>
        <v>5.8752997601918544E-2</v>
      </c>
      <c r="T228" s="143">
        <f t="shared" si="192"/>
        <v>4.6153846153846212E-2</v>
      </c>
      <c r="U228" s="143">
        <f t="shared" si="192"/>
        <v>4.6153846153846212E-2</v>
      </c>
      <c r="V228" s="143">
        <f t="shared" si="192"/>
        <v>4.6153846153846212E-2</v>
      </c>
      <c r="W228" s="143">
        <f t="shared" si="192"/>
        <v>4.6153846153846212E-2</v>
      </c>
      <c r="X228" s="143">
        <f t="shared" si="192"/>
        <v>4.6153846153846212E-2</v>
      </c>
      <c r="Y228" s="143">
        <f t="shared" si="192"/>
        <v>4.6153846153846212E-2</v>
      </c>
      <c r="Z228" s="143">
        <f t="shared" si="192"/>
        <v>4.6153846153846212E-2</v>
      </c>
      <c r="AA228" s="143">
        <f t="shared" si="192"/>
        <v>4.6153846153846212E-2</v>
      </c>
      <c r="AB228" s="143">
        <f t="shared" si="192"/>
        <v>4.6153846153846212E-2</v>
      </c>
      <c r="AC228" s="143">
        <f t="shared" si="192"/>
        <v>4.6153846153846212E-2</v>
      </c>
      <c r="AD228" s="143">
        <f t="shared" si="192"/>
        <v>4.6153846153846212E-2</v>
      </c>
      <c r="AE228" s="146">
        <f t="shared" si="192"/>
        <v>4.6153846153846212E-2</v>
      </c>
      <c r="AF228" s="143">
        <f t="shared" si="192"/>
        <v>5.4794520547945202E-2</v>
      </c>
      <c r="AG228" s="143">
        <f t="shared" si="192"/>
        <v>5.4794520547945202E-2</v>
      </c>
      <c r="AH228" s="143">
        <f t="shared" si="192"/>
        <v>5.4794520547945202E-2</v>
      </c>
      <c r="AI228" s="143">
        <f t="shared" si="192"/>
        <v>5.4794520547945202E-2</v>
      </c>
      <c r="AJ228" s="143">
        <f t="shared" si="192"/>
        <v>5.4794520547945202E-2</v>
      </c>
      <c r="AK228" s="143">
        <f t="shared" si="192"/>
        <v>5.4794520547945202E-2</v>
      </c>
      <c r="AL228" s="143">
        <f t="shared" si="192"/>
        <v>5.4794520547945202E-2</v>
      </c>
      <c r="AM228" s="143">
        <f t="shared" si="192"/>
        <v>5.4794520547945202E-2</v>
      </c>
      <c r="AN228" s="143">
        <f t="shared" si="192"/>
        <v>5.4794520547945202E-2</v>
      </c>
      <c r="AO228" s="143">
        <f t="shared" si="192"/>
        <v>5.4794520547945202E-2</v>
      </c>
      <c r="AP228" s="143">
        <f t="shared" si="192"/>
        <v>5.4794520547945202E-2</v>
      </c>
      <c r="AQ228" s="191">
        <f t="shared" si="192"/>
        <v>5.4794520547945202E-2</v>
      </c>
    </row>
    <row r="229" spans="2:43" x14ac:dyDescent="0.25">
      <c r="B229" s="190" t="s">
        <v>110</v>
      </c>
      <c r="C229" s="146">
        <f t="shared" si="192"/>
        <v>6.12115041995418E-2</v>
      </c>
      <c r="D229" s="143">
        <f t="shared" si="192"/>
        <v>7.0163202678197756E-2</v>
      </c>
      <c r="E229" s="143">
        <f t="shared" si="192"/>
        <v>5.8383664078228259E-2</v>
      </c>
      <c r="F229" s="143">
        <f t="shared" si="192"/>
        <v>5.8056373580142928E-2</v>
      </c>
      <c r="G229" s="146">
        <f t="shared" si="192"/>
        <v>5.8305496507743859E-2</v>
      </c>
      <c r="H229" s="143">
        <f t="shared" si="192"/>
        <v>5.8263971462544584E-2</v>
      </c>
      <c r="I229" s="143">
        <f t="shared" si="192"/>
        <v>9.6243140565639429E-2</v>
      </c>
      <c r="J229" s="143">
        <f t="shared" si="192"/>
        <v>5.8501539514197676E-2</v>
      </c>
      <c r="K229" s="143">
        <f t="shared" ref="K229:AQ229" si="195">ROUND(K155,2)/ROUND(K137,2)-1</f>
        <v>5.8268590455049951E-2</v>
      </c>
      <c r="L229" s="143">
        <f t="shared" si="195"/>
        <v>5.9046177138531331E-2</v>
      </c>
      <c r="M229" s="143">
        <f t="shared" si="195"/>
        <v>5.8064516129032295E-2</v>
      </c>
      <c r="N229" s="143">
        <f t="shared" si="195"/>
        <v>5.8631921824104039E-2</v>
      </c>
      <c r="O229" s="143">
        <f t="shared" si="195"/>
        <v>5.7942057942057978E-2</v>
      </c>
      <c r="P229" s="143">
        <f t="shared" si="195"/>
        <v>5.8177826564215218E-2</v>
      </c>
      <c r="Q229" s="143">
        <f t="shared" si="195"/>
        <v>5.8448459086078763E-2</v>
      </c>
      <c r="R229" s="143">
        <f t="shared" si="195"/>
        <v>5.8356490670901096E-2</v>
      </c>
      <c r="S229" s="146">
        <f t="shared" si="195"/>
        <v>5.8266360505166315E-2</v>
      </c>
      <c r="T229" s="143">
        <f t="shared" si="195"/>
        <v>5.990783410138234E-2</v>
      </c>
      <c r="U229" s="143">
        <f t="shared" si="195"/>
        <v>5.9171597633136175E-2</v>
      </c>
      <c r="V229" s="143">
        <f t="shared" si="195"/>
        <v>5.8201058201058364E-2</v>
      </c>
      <c r="W229" s="143">
        <f t="shared" si="195"/>
        <v>5.8333333333333348E-2</v>
      </c>
      <c r="X229" s="143">
        <f t="shared" si="195"/>
        <v>5.8823529411764719E-2</v>
      </c>
      <c r="Y229" s="143">
        <f t="shared" si="195"/>
        <v>6.944444444444442E-2</v>
      </c>
      <c r="Z229" s="143">
        <f t="shared" si="195"/>
        <v>6.7796610169491567E-2</v>
      </c>
      <c r="AA229" s="143">
        <f t="shared" si="195"/>
        <v>4.6153846153846212E-2</v>
      </c>
      <c r="AB229" s="143">
        <f t="shared" si="195"/>
        <v>4.9180327868852514E-2</v>
      </c>
      <c r="AC229" s="143">
        <f t="shared" si="195"/>
        <v>6.6115702479338845E-2</v>
      </c>
      <c r="AD229" s="143">
        <f t="shared" si="195"/>
        <v>5.9523809523809534E-2</v>
      </c>
      <c r="AE229" s="146">
        <f t="shared" si="195"/>
        <v>5.7777777777777706E-2</v>
      </c>
      <c r="AF229" s="143">
        <f t="shared" si="195"/>
        <v>5.990783410138234E-2</v>
      </c>
      <c r="AG229" s="143">
        <f t="shared" si="195"/>
        <v>5.9171597633136175E-2</v>
      </c>
      <c r="AH229" s="143">
        <f t="shared" si="195"/>
        <v>5.8201058201058364E-2</v>
      </c>
      <c r="AI229" s="143">
        <f t="shared" si="195"/>
        <v>5.8333333333333348E-2</v>
      </c>
      <c r="AJ229" s="143">
        <f t="shared" si="195"/>
        <v>5.8823529411764719E-2</v>
      </c>
      <c r="AK229" s="143">
        <f t="shared" si="195"/>
        <v>6.944444444444442E-2</v>
      </c>
      <c r="AL229" s="143">
        <f t="shared" si="195"/>
        <v>6.7796610169491567E-2</v>
      </c>
      <c r="AM229" s="143">
        <f t="shared" si="195"/>
        <v>4.6153846153846212E-2</v>
      </c>
      <c r="AN229" s="143">
        <f t="shared" si="195"/>
        <v>4.9180327868852514E-2</v>
      </c>
      <c r="AO229" s="143">
        <f t="shared" si="195"/>
        <v>6.6115702479338845E-2</v>
      </c>
      <c r="AP229" s="143">
        <f t="shared" si="195"/>
        <v>5.9523809523809534E-2</v>
      </c>
      <c r="AQ229" s="191">
        <f t="shared" si="195"/>
        <v>5.7777777777777706E-2</v>
      </c>
    </row>
    <row r="230" spans="2:43" ht="15.75" thickBot="1" x14ac:dyDescent="0.3">
      <c r="B230" s="192" t="s">
        <v>111</v>
      </c>
      <c r="C230" s="193">
        <f t="shared" ref="C230:AQ230" si="196">ROUND(C156,2)/ROUND(C138,2)-1</f>
        <v>6.12115041995418E-2</v>
      </c>
      <c r="D230" s="195">
        <f t="shared" si="196"/>
        <v>7.0163202678197756E-2</v>
      </c>
      <c r="E230" s="195">
        <f t="shared" si="196"/>
        <v>5.8383664078228259E-2</v>
      </c>
      <c r="F230" s="195">
        <f t="shared" si="196"/>
        <v>5.8056373580142928E-2</v>
      </c>
      <c r="G230" s="193">
        <f t="shared" si="196"/>
        <v>5.8305496507743859E-2</v>
      </c>
      <c r="H230" s="195">
        <f t="shared" si="196"/>
        <v>5.8263971462544584E-2</v>
      </c>
      <c r="I230" s="195">
        <f t="shared" si="196"/>
        <v>9.6243140565639429E-2</v>
      </c>
      <c r="J230" s="195">
        <f t="shared" si="196"/>
        <v>5.8501539514197676E-2</v>
      </c>
      <c r="K230" s="195">
        <f t="shared" si="196"/>
        <v>5.8268590455049951E-2</v>
      </c>
      <c r="L230" s="195">
        <f t="shared" si="196"/>
        <v>5.9046177138531331E-2</v>
      </c>
      <c r="M230" s="195">
        <f t="shared" si="196"/>
        <v>5.8064516129032295E-2</v>
      </c>
      <c r="N230" s="195">
        <f t="shared" si="196"/>
        <v>5.8631921824104039E-2</v>
      </c>
      <c r="O230" s="195">
        <f t="shared" si="196"/>
        <v>5.7942057942057978E-2</v>
      </c>
      <c r="P230" s="195">
        <f t="shared" si="196"/>
        <v>5.8177826564215218E-2</v>
      </c>
      <c r="Q230" s="195">
        <f t="shared" si="196"/>
        <v>5.8448459086078763E-2</v>
      </c>
      <c r="R230" s="195">
        <f t="shared" si="196"/>
        <v>5.8356490670901096E-2</v>
      </c>
      <c r="S230" s="193">
        <f t="shared" si="196"/>
        <v>5.8266360505166315E-2</v>
      </c>
      <c r="T230" s="195">
        <f t="shared" si="196"/>
        <v>5.990783410138234E-2</v>
      </c>
      <c r="U230" s="195">
        <f t="shared" si="196"/>
        <v>5.9171597633136175E-2</v>
      </c>
      <c r="V230" s="195">
        <f t="shared" si="196"/>
        <v>5.8201058201058364E-2</v>
      </c>
      <c r="W230" s="195">
        <f t="shared" si="196"/>
        <v>5.8333333333333348E-2</v>
      </c>
      <c r="X230" s="195">
        <f t="shared" si="196"/>
        <v>5.8823529411764719E-2</v>
      </c>
      <c r="Y230" s="195">
        <f t="shared" si="196"/>
        <v>6.944444444444442E-2</v>
      </c>
      <c r="Z230" s="195">
        <f t="shared" si="196"/>
        <v>6.7796610169491567E-2</v>
      </c>
      <c r="AA230" s="195">
        <f t="shared" si="196"/>
        <v>4.6153846153846212E-2</v>
      </c>
      <c r="AB230" s="195">
        <f t="shared" si="196"/>
        <v>4.9180327868852514E-2</v>
      </c>
      <c r="AC230" s="195">
        <f t="shared" si="196"/>
        <v>6.6115702479338845E-2</v>
      </c>
      <c r="AD230" s="195">
        <f t="shared" si="196"/>
        <v>5.9523809523809534E-2</v>
      </c>
      <c r="AE230" s="193">
        <f t="shared" si="196"/>
        <v>5.7777777777777706E-2</v>
      </c>
      <c r="AF230" s="195">
        <f t="shared" si="196"/>
        <v>5.990783410138234E-2</v>
      </c>
      <c r="AG230" s="195">
        <f t="shared" si="196"/>
        <v>5.9171597633136175E-2</v>
      </c>
      <c r="AH230" s="195">
        <f t="shared" si="196"/>
        <v>5.8201058201058364E-2</v>
      </c>
      <c r="AI230" s="195">
        <f t="shared" si="196"/>
        <v>5.8333333333333348E-2</v>
      </c>
      <c r="AJ230" s="195">
        <f t="shared" si="196"/>
        <v>5.8823529411764719E-2</v>
      </c>
      <c r="AK230" s="195">
        <f t="shared" si="196"/>
        <v>6.944444444444442E-2</v>
      </c>
      <c r="AL230" s="195">
        <f t="shared" si="196"/>
        <v>6.7796610169491567E-2</v>
      </c>
      <c r="AM230" s="195">
        <f t="shared" si="196"/>
        <v>4.6153846153846212E-2</v>
      </c>
      <c r="AN230" s="195">
        <f t="shared" si="196"/>
        <v>4.9180327868852514E-2</v>
      </c>
      <c r="AO230" s="195">
        <f t="shared" si="196"/>
        <v>6.6115702479338845E-2</v>
      </c>
      <c r="AP230" s="195">
        <f t="shared" si="196"/>
        <v>5.9523809523809534E-2</v>
      </c>
      <c r="AQ230" s="208">
        <f t="shared" si="196"/>
        <v>5.7777777777777706E-2</v>
      </c>
    </row>
  </sheetData>
  <mergeCells count="90">
    <mergeCell ref="B217:AQ217"/>
    <mergeCell ref="C218:C219"/>
    <mergeCell ref="D218:G218"/>
    <mergeCell ref="H218:S218"/>
    <mergeCell ref="T218:AE218"/>
    <mergeCell ref="AF218:AQ218"/>
    <mergeCell ref="B202:AQ202"/>
    <mergeCell ref="C203:C204"/>
    <mergeCell ref="D203:G203"/>
    <mergeCell ref="H203:S203"/>
    <mergeCell ref="T203:AE203"/>
    <mergeCell ref="AF203:AQ203"/>
    <mergeCell ref="B139:AQ139"/>
    <mergeCell ref="C140:C145"/>
    <mergeCell ref="D140:G140"/>
    <mergeCell ref="H140:S140"/>
    <mergeCell ref="T140:AE140"/>
    <mergeCell ref="AF140:AQ140"/>
    <mergeCell ref="C122:C127"/>
    <mergeCell ref="D122:G122"/>
    <mergeCell ref="H122:S122"/>
    <mergeCell ref="T122:AE122"/>
    <mergeCell ref="AF122:AQ122"/>
    <mergeCell ref="B49:AQ49"/>
    <mergeCell ref="C40:C41"/>
    <mergeCell ref="B40:B41"/>
    <mergeCell ref="T30:AE30"/>
    <mergeCell ref="T40:AE40"/>
    <mergeCell ref="D40:G40"/>
    <mergeCell ref="H40:S40"/>
    <mergeCell ref="C30:C31"/>
    <mergeCell ref="D30:G30"/>
    <mergeCell ref="B19:B20"/>
    <mergeCell ref="B30:B31"/>
    <mergeCell ref="U9:X9"/>
    <mergeCell ref="Y9:AJ9"/>
    <mergeCell ref="B4:AJ4"/>
    <mergeCell ref="B6:S6"/>
    <mergeCell ref="B9:B10"/>
    <mergeCell ref="C19:C20"/>
    <mergeCell ref="H19:K19"/>
    <mergeCell ref="L19:N19"/>
    <mergeCell ref="D19:G19"/>
    <mergeCell ref="B8:AJ8"/>
    <mergeCell ref="H9:S9"/>
    <mergeCell ref="D9:G9"/>
    <mergeCell ref="H30:S30"/>
    <mergeCell ref="B103:AQ103"/>
    <mergeCell ref="C104:C109"/>
    <mergeCell ref="D104:G104"/>
    <mergeCell ref="H104:S104"/>
    <mergeCell ref="B50:AQ50"/>
    <mergeCell ref="AF51:AQ51"/>
    <mergeCell ref="T51:AE51"/>
    <mergeCell ref="H51:S51"/>
    <mergeCell ref="D51:G51"/>
    <mergeCell ref="C51:C56"/>
    <mergeCell ref="B67:AQ67"/>
    <mergeCell ref="C68:C73"/>
    <mergeCell ref="D68:G68"/>
    <mergeCell ref="H68:S68"/>
    <mergeCell ref="T68:AE68"/>
    <mergeCell ref="AF68:AQ68"/>
    <mergeCell ref="B85:AQ85"/>
    <mergeCell ref="C86:C91"/>
    <mergeCell ref="D86:G86"/>
    <mergeCell ref="H86:S86"/>
    <mergeCell ref="T86:AE86"/>
    <mergeCell ref="AF86:AQ86"/>
    <mergeCell ref="C188:C189"/>
    <mergeCell ref="D188:G188"/>
    <mergeCell ref="H188:S188"/>
    <mergeCell ref="T188:AE188"/>
    <mergeCell ref="AF188:AQ188"/>
    <mergeCell ref="B187:AQ187"/>
    <mergeCell ref="T104:AE104"/>
    <mergeCell ref="AF104:AQ104"/>
    <mergeCell ref="B172:AQ172"/>
    <mergeCell ref="C173:C174"/>
    <mergeCell ref="D173:G173"/>
    <mergeCell ref="H173:S173"/>
    <mergeCell ref="T173:AE173"/>
    <mergeCell ref="AF173:AQ173"/>
    <mergeCell ref="B158:AQ158"/>
    <mergeCell ref="C159:C160"/>
    <mergeCell ref="D159:G159"/>
    <mergeCell ref="H159:S159"/>
    <mergeCell ref="T159:AE159"/>
    <mergeCell ref="AF159:AQ159"/>
    <mergeCell ref="B121:AQ121"/>
  </mergeCells>
  <phoneticPr fontId="37" type="noConversion"/>
  <pageMargins left="0.7" right="0.7" top="0.75" bottom="0.75" header="0.3" footer="0.3"/>
  <pageSetup paperSize="9" scale="3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W59"/>
  <sheetViews>
    <sheetView showGridLines="0" topLeftCell="A13" zoomScale="70" zoomScaleNormal="70" workbookViewId="0">
      <selection activeCell="F58" sqref="F58"/>
    </sheetView>
  </sheetViews>
  <sheetFormatPr defaultRowHeight="15" x14ac:dyDescent="0.25"/>
  <cols>
    <col min="1" max="1" width="2.140625" customWidth="1"/>
    <col min="2" max="2" width="40.7109375" customWidth="1"/>
    <col min="3" max="15" width="16.42578125" customWidth="1"/>
    <col min="16" max="30" width="6.7109375" customWidth="1"/>
  </cols>
  <sheetData>
    <row r="1" spans="2:23" ht="25.15" customHeight="1" x14ac:dyDescent="0.25">
      <c r="B1" s="34" t="s">
        <v>29</v>
      </c>
      <c r="C1" s="34"/>
      <c r="D1" s="34"/>
      <c r="E1" s="34"/>
      <c r="F1" s="34"/>
      <c r="G1" s="34"/>
      <c r="H1" s="34"/>
      <c r="I1" s="34"/>
      <c r="J1" s="34"/>
      <c r="K1" s="34"/>
      <c r="L1" s="34"/>
      <c r="M1" s="34"/>
      <c r="N1" s="34"/>
      <c r="O1" s="34"/>
      <c r="P1" s="34"/>
      <c r="Q1" s="34"/>
      <c r="R1" s="34"/>
      <c r="S1" s="34"/>
      <c r="T1" s="34"/>
      <c r="U1" s="34"/>
    </row>
    <row r="2" spans="2:23" ht="15.75" x14ac:dyDescent="0.25">
      <c r="B2" s="10" t="s">
        <v>30</v>
      </c>
      <c r="C2" s="10"/>
      <c r="D2" s="10"/>
      <c r="E2" s="10"/>
      <c r="F2" s="10"/>
      <c r="G2" s="10"/>
      <c r="H2" s="10"/>
      <c r="I2" s="10"/>
      <c r="J2" s="10"/>
      <c r="K2" s="10"/>
      <c r="L2" s="10"/>
      <c r="M2" s="10"/>
      <c r="N2" s="10"/>
      <c r="O2" s="10"/>
      <c r="P2" s="10"/>
      <c r="Q2" s="10"/>
      <c r="R2" s="10"/>
      <c r="S2" s="10"/>
      <c r="T2" s="10"/>
      <c r="U2" s="10"/>
      <c r="V2" s="32"/>
    </row>
    <row r="3" spans="2:23" ht="14.45" customHeight="1" x14ac:dyDescent="0.25">
      <c r="B3" s="11" t="s">
        <v>32</v>
      </c>
      <c r="C3" s="3"/>
      <c r="D3" s="3"/>
      <c r="E3" s="3"/>
      <c r="F3" s="3"/>
      <c r="G3" s="3"/>
      <c r="H3" s="3"/>
      <c r="I3" s="3"/>
      <c r="J3" s="3"/>
      <c r="K3" s="3"/>
      <c r="L3" s="3"/>
      <c r="M3" s="3"/>
      <c r="N3" s="3"/>
      <c r="O3" s="3"/>
      <c r="P3" s="3"/>
      <c r="Q3" s="3"/>
      <c r="R3" s="3"/>
      <c r="S3" s="12"/>
      <c r="T3" s="12"/>
      <c r="U3" s="12"/>
      <c r="V3" s="12"/>
    </row>
    <row r="4" spans="2:23" x14ac:dyDescent="0.25">
      <c r="B4" s="176" t="s">
        <v>31</v>
      </c>
      <c r="C4" s="2"/>
      <c r="D4" s="2"/>
      <c r="E4" s="2"/>
      <c r="F4" s="2"/>
    </row>
    <row r="5" spans="2:23" x14ac:dyDescent="0.25">
      <c r="B5" s="5"/>
      <c r="C5" s="2"/>
      <c r="D5" s="2"/>
      <c r="E5" s="2"/>
      <c r="F5" s="2"/>
    </row>
    <row r="6" spans="2:23" ht="41.45" customHeight="1" x14ac:dyDescent="0.25">
      <c r="B6" s="399" t="s">
        <v>33</v>
      </c>
      <c r="C6" s="399"/>
      <c r="D6" s="399"/>
      <c r="E6" s="399"/>
      <c r="F6" s="399"/>
      <c r="G6" s="399"/>
      <c r="H6" s="399"/>
      <c r="I6" s="399"/>
      <c r="J6" s="399"/>
      <c r="K6" s="399"/>
      <c r="L6" s="399"/>
      <c r="M6" s="399"/>
      <c r="N6" s="399"/>
      <c r="O6" s="399"/>
      <c r="P6" s="44"/>
      <c r="Q6" s="44"/>
      <c r="R6" s="44"/>
      <c r="W6" s="4"/>
    </row>
    <row r="7" spans="2:23" ht="14.45" customHeight="1" x14ac:dyDescent="0.25">
      <c r="B7" s="400"/>
      <c r="C7" s="398" t="s">
        <v>34</v>
      </c>
      <c r="D7" s="398"/>
      <c r="E7" s="398"/>
      <c r="F7" s="398"/>
      <c r="G7" s="398"/>
      <c r="H7" s="398"/>
      <c r="I7" s="398"/>
      <c r="J7" s="398"/>
      <c r="K7" s="398"/>
      <c r="L7" s="398"/>
      <c r="M7" s="398"/>
      <c r="N7" s="398"/>
      <c r="O7" s="398"/>
      <c r="P7" s="39"/>
      <c r="Q7" s="39"/>
      <c r="R7" s="39"/>
      <c r="S7" s="35"/>
      <c r="T7" s="35"/>
      <c r="U7" s="35"/>
      <c r="V7" s="35"/>
      <c r="W7" s="4"/>
    </row>
    <row r="8" spans="2:23" x14ac:dyDescent="0.25">
      <c r="B8" s="400"/>
      <c r="C8" s="156" t="s">
        <v>35</v>
      </c>
      <c r="D8" s="156" t="s">
        <v>36</v>
      </c>
      <c r="E8" s="156" t="s">
        <v>37</v>
      </c>
      <c r="F8" s="156" t="s">
        <v>38</v>
      </c>
      <c r="G8" s="156" t="s">
        <v>39</v>
      </c>
      <c r="H8" s="156" t="s">
        <v>40</v>
      </c>
      <c r="I8" s="156" t="s">
        <v>41</v>
      </c>
      <c r="J8" s="156" t="s">
        <v>42</v>
      </c>
      <c r="K8" s="156" t="s">
        <v>43</v>
      </c>
      <c r="L8" s="156" t="s">
        <v>44</v>
      </c>
      <c r="M8" s="156" t="s">
        <v>45</v>
      </c>
      <c r="N8" s="156" t="s">
        <v>46</v>
      </c>
      <c r="O8" s="156" t="s">
        <v>47</v>
      </c>
      <c r="P8" s="45"/>
      <c r="Q8" s="45"/>
      <c r="R8" s="45"/>
      <c r="S8" s="13"/>
      <c r="T8" s="13"/>
      <c r="U8" s="13"/>
      <c r="V8" s="13"/>
    </row>
    <row r="9" spans="2:23" ht="38.25" x14ac:dyDescent="0.25">
      <c r="B9" s="91" t="s">
        <v>48</v>
      </c>
      <c r="C9" s="185">
        <v>5066499.3245999999</v>
      </c>
      <c r="D9" s="185">
        <v>4484222.3910000008</v>
      </c>
      <c r="E9" s="185">
        <v>4727613.8219999997</v>
      </c>
      <c r="F9" s="185">
        <v>3769525.5565999998</v>
      </c>
      <c r="G9" s="185">
        <v>3168191.9652</v>
      </c>
      <c r="H9" s="185">
        <v>2918992.1938</v>
      </c>
      <c r="I9" s="185">
        <v>2653484.1303999997</v>
      </c>
      <c r="J9" s="185">
        <v>2768419.4739999999</v>
      </c>
      <c r="K9" s="185">
        <v>2671651.5190000003</v>
      </c>
      <c r="L9" s="185">
        <v>3797131.9982000003</v>
      </c>
      <c r="M9" s="185">
        <v>4459604.6696000006</v>
      </c>
      <c r="N9" s="185">
        <v>5162582.6800000006</v>
      </c>
      <c r="O9" s="161">
        <f>SUM(C9:N9)</f>
        <v>45647919.724399999</v>
      </c>
      <c r="S9" s="13"/>
      <c r="T9" s="13"/>
      <c r="U9" s="13"/>
      <c r="V9" s="13"/>
    </row>
    <row r="10" spans="2:23" x14ac:dyDescent="0.25">
      <c r="B10" s="15"/>
      <c r="C10" s="42"/>
      <c r="D10" s="42"/>
      <c r="E10" s="42"/>
      <c r="F10" s="42"/>
      <c r="G10" s="42"/>
      <c r="H10" s="42"/>
      <c r="I10" s="42"/>
      <c r="J10" s="42"/>
      <c r="K10" s="42"/>
      <c r="L10" s="42"/>
      <c r="M10" s="42"/>
      <c r="N10" s="42"/>
      <c r="O10" s="43"/>
      <c r="S10" s="13"/>
      <c r="T10" s="13"/>
      <c r="U10" s="13"/>
      <c r="V10" s="13"/>
    </row>
    <row r="11" spans="2:23" ht="40.15" customHeight="1" x14ac:dyDescent="0.25">
      <c r="B11" s="399" t="s">
        <v>49</v>
      </c>
      <c r="C11" s="399"/>
      <c r="D11" s="399"/>
      <c r="E11" s="399"/>
      <c r="F11" s="399"/>
      <c r="G11" s="399"/>
      <c r="H11" s="399"/>
      <c r="I11" s="399"/>
      <c r="J11" s="399"/>
      <c r="K11" s="399"/>
      <c r="L11" s="399"/>
      <c r="M11" s="399"/>
      <c r="N11" s="399"/>
      <c r="O11" s="399"/>
      <c r="S11" s="13"/>
      <c r="T11" s="13"/>
      <c r="U11" s="13"/>
      <c r="V11" s="13"/>
    </row>
    <row r="12" spans="2:23" ht="14.45" customHeight="1" x14ac:dyDescent="0.25">
      <c r="B12" s="400"/>
      <c r="C12" s="398" t="s">
        <v>50</v>
      </c>
      <c r="D12" s="398"/>
      <c r="E12" s="398"/>
      <c r="F12" s="398"/>
      <c r="G12" s="398"/>
      <c r="H12" s="398"/>
      <c r="I12" s="398"/>
      <c r="J12" s="398"/>
      <c r="K12" s="398"/>
      <c r="L12" s="398"/>
      <c r="M12" s="398"/>
      <c r="N12" s="398"/>
      <c r="O12" s="398"/>
      <c r="S12" s="13"/>
      <c r="T12" s="13"/>
      <c r="U12" s="13"/>
      <c r="V12" s="13"/>
    </row>
    <row r="13" spans="2:23" x14ac:dyDescent="0.25">
      <c r="B13" s="400"/>
      <c r="C13" s="156" t="s">
        <v>35</v>
      </c>
      <c r="D13" s="156" t="s">
        <v>36</v>
      </c>
      <c r="E13" s="156" t="s">
        <v>37</v>
      </c>
      <c r="F13" s="156" t="s">
        <v>38</v>
      </c>
      <c r="G13" s="156" t="s">
        <v>39</v>
      </c>
      <c r="H13" s="156" t="s">
        <v>40</v>
      </c>
      <c r="I13" s="156" t="s">
        <v>41</v>
      </c>
      <c r="J13" s="156" t="s">
        <v>42</v>
      </c>
      <c r="K13" s="156" t="s">
        <v>43</v>
      </c>
      <c r="L13" s="156" t="s">
        <v>44</v>
      </c>
      <c r="M13" s="156" t="s">
        <v>45</v>
      </c>
      <c r="N13" s="156" t="s">
        <v>46</v>
      </c>
      <c r="O13" s="156" t="s">
        <v>47</v>
      </c>
      <c r="S13" s="13"/>
      <c r="T13" s="13"/>
      <c r="U13" s="13"/>
      <c r="V13" s="13"/>
    </row>
    <row r="14" spans="2:23" x14ac:dyDescent="0.25">
      <c r="B14" s="88" t="s">
        <v>51</v>
      </c>
      <c r="C14" s="162">
        <f>C9/$O$9</f>
        <v>0.11099080429489593</v>
      </c>
      <c r="D14" s="162">
        <f t="shared" ref="D14:N14" si="0">D9/$O$9</f>
        <v>9.8234978024706515E-2</v>
      </c>
      <c r="E14" s="162">
        <f t="shared" si="0"/>
        <v>0.1035669062367582</v>
      </c>
      <c r="F14" s="162">
        <f t="shared" si="0"/>
        <v>8.2578255030208755E-2</v>
      </c>
      <c r="G14" s="162">
        <f t="shared" si="0"/>
        <v>6.9404958305395004E-2</v>
      </c>
      <c r="H14" s="162">
        <f t="shared" si="0"/>
        <v>6.3945787922504674E-2</v>
      </c>
      <c r="I14" s="162">
        <f t="shared" si="0"/>
        <v>5.8129354994059967E-2</v>
      </c>
      <c r="J14" s="162">
        <f t="shared" si="0"/>
        <v>6.0647220962409112E-2</v>
      </c>
      <c r="K14" s="162">
        <f t="shared" si="0"/>
        <v>5.8527344403209093E-2</v>
      </c>
      <c r="L14" s="162">
        <f t="shared" si="0"/>
        <v>8.3183023917086291E-2</v>
      </c>
      <c r="M14" s="162">
        <f t="shared" si="0"/>
        <v>9.7695682443470169E-2</v>
      </c>
      <c r="N14" s="162">
        <f t="shared" si="0"/>
        <v>0.11309568346529636</v>
      </c>
      <c r="O14" s="162">
        <f>SUM(C14:N14)</f>
        <v>1.0000000000000002</v>
      </c>
      <c r="S14" s="13"/>
      <c r="T14" s="13"/>
      <c r="U14" s="13"/>
      <c r="V14" s="13"/>
    </row>
    <row r="15" spans="2:23" x14ac:dyDescent="0.25">
      <c r="B15" s="15"/>
      <c r="C15" s="42"/>
      <c r="D15" s="42"/>
      <c r="E15" s="46"/>
      <c r="F15" s="46"/>
      <c r="G15" s="42"/>
      <c r="H15" s="42"/>
      <c r="I15" s="42"/>
      <c r="J15" s="42"/>
      <c r="K15" s="42"/>
      <c r="L15" s="42"/>
      <c r="M15" s="42"/>
      <c r="N15" s="42"/>
      <c r="O15" s="43"/>
      <c r="S15" s="13"/>
      <c r="T15" s="13"/>
      <c r="U15" s="13"/>
      <c r="V15" s="13"/>
    </row>
    <row r="16" spans="2:23" ht="41.45" customHeight="1" x14ac:dyDescent="0.25">
      <c r="B16" s="399" t="s">
        <v>52</v>
      </c>
      <c r="C16" s="399"/>
      <c r="D16" s="399"/>
      <c r="E16" s="399"/>
      <c r="F16" s="399"/>
      <c r="G16" s="399"/>
      <c r="H16" s="399"/>
      <c r="I16" s="399"/>
      <c r="J16" s="399"/>
      <c r="K16" s="399"/>
      <c r="L16" s="399"/>
      <c r="M16" s="399"/>
      <c r="N16" s="399"/>
      <c r="O16" s="44"/>
      <c r="S16" s="13"/>
      <c r="T16" s="13"/>
      <c r="U16" s="13"/>
      <c r="V16" s="13"/>
    </row>
    <row r="17" spans="2:22" ht="14.45" customHeight="1" x14ac:dyDescent="0.25">
      <c r="B17" s="400"/>
      <c r="C17" s="398" t="s">
        <v>50</v>
      </c>
      <c r="D17" s="398"/>
      <c r="E17" s="398"/>
      <c r="F17" s="398"/>
      <c r="G17" s="398"/>
      <c r="H17" s="398"/>
      <c r="I17" s="398"/>
      <c r="J17" s="398"/>
      <c r="K17" s="398"/>
      <c r="L17" s="398"/>
      <c r="M17" s="398"/>
      <c r="N17" s="398"/>
      <c r="O17" s="47"/>
      <c r="S17" s="13"/>
      <c r="T17" s="13"/>
      <c r="U17" s="13"/>
      <c r="V17" s="13"/>
    </row>
    <row r="18" spans="2:22" x14ac:dyDescent="0.25">
      <c r="B18" s="400"/>
      <c r="C18" s="156" t="s">
        <v>35</v>
      </c>
      <c r="D18" s="156" t="s">
        <v>36</v>
      </c>
      <c r="E18" s="156" t="s">
        <v>37</v>
      </c>
      <c r="F18" s="156" t="s">
        <v>38</v>
      </c>
      <c r="G18" s="156" t="s">
        <v>39</v>
      </c>
      <c r="H18" s="156" t="s">
        <v>40</v>
      </c>
      <c r="I18" s="156" t="s">
        <v>41</v>
      </c>
      <c r="J18" s="156" t="s">
        <v>42</v>
      </c>
      <c r="K18" s="156" t="s">
        <v>43</v>
      </c>
      <c r="L18" s="156" t="s">
        <v>44</v>
      </c>
      <c r="M18" s="156" t="s">
        <v>45</v>
      </c>
      <c r="N18" s="156" t="s">
        <v>46</v>
      </c>
      <c r="O18" s="48"/>
      <c r="S18" s="13"/>
      <c r="T18" s="13"/>
      <c r="U18" s="13"/>
      <c r="V18" s="13"/>
    </row>
    <row r="19" spans="2:22" x14ac:dyDescent="0.25">
      <c r="B19" s="88" t="s">
        <v>53</v>
      </c>
      <c r="C19" s="162">
        <f>IF(C14&gt;0,C14*12,MIN(0.1,SMALL($C$14:$N$14,COUNTIF($C$14:$N$14,0)+1))*12)</f>
        <v>1.3318896515387511</v>
      </c>
      <c r="D19" s="162">
        <f t="shared" ref="D19:N19" si="1">IF(D14&gt;0,D14*12,MIN(0.1,SMALL($C$14:$N$14,COUNTIF($C$14:$N$14,0)+1))*12)</f>
        <v>1.1788197362964783</v>
      </c>
      <c r="E19" s="162">
        <f t="shared" si="1"/>
        <v>1.2428028748410984</v>
      </c>
      <c r="F19" s="162">
        <f t="shared" si="1"/>
        <v>0.99093906036250501</v>
      </c>
      <c r="G19" s="162">
        <f t="shared" si="1"/>
        <v>0.83285949966474004</v>
      </c>
      <c r="H19" s="162">
        <f t="shared" si="1"/>
        <v>0.76734945507005614</v>
      </c>
      <c r="I19" s="162">
        <f t="shared" si="1"/>
        <v>0.69755225992871961</v>
      </c>
      <c r="J19" s="162">
        <f t="shared" si="1"/>
        <v>0.7277666515489094</v>
      </c>
      <c r="K19" s="162">
        <f t="shared" si="1"/>
        <v>0.70232813283850914</v>
      </c>
      <c r="L19" s="162">
        <f t="shared" si="1"/>
        <v>0.99819628700503549</v>
      </c>
      <c r="M19" s="162">
        <f t="shared" si="1"/>
        <v>1.1723481893216421</v>
      </c>
      <c r="N19" s="162">
        <f t="shared" si="1"/>
        <v>1.3571482015835563</v>
      </c>
      <c r="O19" s="46"/>
      <c r="Q19" s="51"/>
      <c r="R19" s="45"/>
      <c r="S19" s="29"/>
      <c r="T19" s="13"/>
      <c r="U19" s="13"/>
      <c r="V19" s="13"/>
    </row>
    <row r="20" spans="2:22" x14ac:dyDescent="0.25">
      <c r="B20" s="15"/>
      <c r="C20" s="50"/>
      <c r="D20" s="42"/>
      <c r="E20" s="42"/>
      <c r="F20" s="42"/>
      <c r="G20" s="42"/>
      <c r="H20" s="42"/>
      <c r="I20" s="42"/>
      <c r="J20" s="42"/>
      <c r="K20" s="42"/>
      <c r="L20" s="42"/>
      <c r="M20" s="42"/>
      <c r="N20" s="42"/>
      <c r="O20" s="43"/>
      <c r="S20" s="13"/>
      <c r="T20" s="13"/>
      <c r="U20" s="13"/>
      <c r="V20" s="13"/>
    </row>
    <row r="21" spans="2:22" ht="43.15" customHeight="1" x14ac:dyDescent="0.25">
      <c r="B21" s="399" t="s">
        <v>54</v>
      </c>
      <c r="C21" s="399"/>
      <c r="D21" s="399"/>
      <c r="E21" s="399"/>
      <c r="F21" s="399"/>
      <c r="G21" s="399"/>
      <c r="H21" s="399"/>
      <c r="I21" s="399"/>
      <c r="J21" s="399"/>
      <c r="K21" s="399"/>
      <c r="L21" s="399"/>
      <c r="M21" s="399"/>
      <c r="N21" s="399"/>
      <c r="O21" s="44"/>
      <c r="S21" s="13"/>
      <c r="T21" s="13"/>
      <c r="U21" s="13"/>
      <c r="V21" s="13"/>
    </row>
    <row r="22" spans="2:22" ht="14.45" customHeight="1" x14ac:dyDescent="0.25">
      <c r="B22" s="400"/>
      <c r="C22" s="398" t="s">
        <v>50</v>
      </c>
      <c r="D22" s="398"/>
      <c r="E22" s="398"/>
      <c r="F22" s="398"/>
      <c r="G22" s="398"/>
      <c r="H22" s="398"/>
      <c r="I22" s="398"/>
      <c r="J22" s="398"/>
      <c r="K22" s="398"/>
      <c r="L22" s="398"/>
      <c r="M22" s="398"/>
      <c r="N22" s="398"/>
      <c r="O22" s="47"/>
      <c r="S22" s="13"/>
      <c r="T22" s="13"/>
      <c r="U22" s="13"/>
      <c r="V22" s="13"/>
    </row>
    <row r="23" spans="2:22" x14ac:dyDescent="0.25">
      <c r="B23" s="400"/>
      <c r="C23" s="156" t="s">
        <v>35</v>
      </c>
      <c r="D23" s="156" t="s">
        <v>36</v>
      </c>
      <c r="E23" s="156" t="s">
        <v>37</v>
      </c>
      <c r="F23" s="156" t="s">
        <v>38</v>
      </c>
      <c r="G23" s="156" t="s">
        <v>39</v>
      </c>
      <c r="H23" s="156" t="s">
        <v>40</v>
      </c>
      <c r="I23" s="156" t="s">
        <v>41</v>
      </c>
      <c r="J23" s="156" t="s">
        <v>42</v>
      </c>
      <c r="K23" s="156" t="s">
        <v>43</v>
      </c>
      <c r="L23" s="156" t="s">
        <v>44</v>
      </c>
      <c r="M23" s="156" t="s">
        <v>45</v>
      </c>
      <c r="N23" s="156" t="s">
        <v>46</v>
      </c>
      <c r="O23" s="48"/>
      <c r="S23" s="13"/>
      <c r="T23" s="13"/>
      <c r="U23" s="13"/>
      <c r="V23" s="13"/>
    </row>
    <row r="24" spans="2:22" x14ac:dyDescent="0.25">
      <c r="B24" s="88" t="s">
        <v>55</v>
      </c>
      <c r="C24" s="162">
        <f>C19^$C$25</f>
        <v>1.7739300438760157</v>
      </c>
      <c r="D24" s="162">
        <f t="shared" ref="D24:N24" si="2">D19^$C$25</f>
        <v>1.3896159706820985</v>
      </c>
      <c r="E24" s="162">
        <f t="shared" si="2"/>
        <v>1.5445589857132989</v>
      </c>
      <c r="F24" s="162">
        <f t="shared" si="2"/>
        <v>0.98196022135212435</v>
      </c>
      <c r="G24" s="162">
        <f t="shared" si="2"/>
        <v>0.69365494618180112</v>
      </c>
      <c r="H24" s="162">
        <f t="shared" si="2"/>
        <v>0.58882518619631208</v>
      </c>
      <c r="I24" s="162">
        <f t="shared" si="2"/>
        <v>0.48657915533166402</v>
      </c>
      <c r="J24" s="162">
        <f t="shared" si="2"/>
        <v>0.52964429910671174</v>
      </c>
      <c r="K24" s="162">
        <f t="shared" si="2"/>
        <v>0.49326480617642654</v>
      </c>
      <c r="L24" s="162">
        <f t="shared" si="2"/>
        <v>0.99639582739063914</v>
      </c>
      <c r="M24" s="162">
        <f t="shared" si="2"/>
        <v>1.3744002770057329</v>
      </c>
      <c r="N24" s="162">
        <f t="shared" si="2"/>
        <v>1.8418512410614811</v>
      </c>
      <c r="O24" s="46"/>
      <c r="S24" s="13"/>
      <c r="T24" s="13"/>
      <c r="U24" s="13"/>
      <c r="V24" s="13"/>
    </row>
    <row r="25" spans="2:22" x14ac:dyDescent="0.25">
      <c r="B25" s="88" t="s">
        <v>56</v>
      </c>
      <c r="C25" s="157">
        <v>2</v>
      </c>
      <c r="D25" s="42"/>
      <c r="E25" s="42"/>
      <c r="F25" s="42"/>
      <c r="G25" s="42"/>
      <c r="H25" s="42"/>
      <c r="I25" s="42"/>
      <c r="J25" s="42"/>
      <c r="K25" s="42"/>
      <c r="L25" s="42"/>
      <c r="M25" s="42"/>
      <c r="N25" s="42"/>
      <c r="O25" s="43"/>
      <c r="S25" s="13"/>
      <c r="T25" s="13"/>
      <c r="U25" s="13"/>
      <c r="V25" s="13"/>
    </row>
    <row r="26" spans="2:22" x14ac:dyDescent="0.25">
      <c r="B26" s="15"/>
      <c r="C26" s="42"/>
      <c r="D26" s="42"/>
      <c r="E26" s="42"/>
      <c r="F26" s="42"/>
      <c r="G26" s="42"/>
      <c r="H26" s="42"/>
      <c r="I26" s="42"/>
      <c r="J26" s="42"/>
      <c r="K26" s="42"/>
      <c r="L26" s="42"/>
      <c r="M26" s="42"/>
      <c r="N26" s="42"/>
      <c r="O26" s="43"/>
      <c r="S26" s="13"/>
      <c r="T26" s="13"/>
      <c r="U26" s="13"/>
      <c r="V26" s="13"/>
    </row>
    <row r="27" spans="2:22" ht="55.9" customHeight="1" x14ac:dyDescent="0.25">
      <c r="B27" s="399" t="s">
        <v>57</v>
      </c>
      <c r="C27" s="399"/>
      <c r="D27" s="399"/>
      <c r="E27" s="399"/>
      <c r="F27" s="399"/>
      <c r="G27" s="399"/>
      <c r="H27" s="399"/>
      <c r="I27" s="399"/>
      <c r="J27" s="399"/>
      <c r="K27" s="399"/>
      <c r="L27" s="399"/>
      <c r="M27" s="399"/>
      <c r="N27" s="399"/>
      <c r="O27" s="399"/>
      <c r="S27" s="13"/>
      <c r="T27" s="13"/>
      <c r="U27" s="13"/>
      <c r="V27" s="13"/>
    </row>
    <row r="28" spans="2:22" ht="14.45" customHeight="1" x14ac:dyDescent="0.25">
      <c r="B28" s="400"/>
      <c r="C28" s="398" t="s">
        <v>50</v>
      </c>
      <c r="D28" s="398"/>
      <c r="E28" s="398"/>
      <c r="F28" s="398"/>
      <c r="G28" s="398"/>
      <c r="H28" s="398"/>
      <c r="I28" s="398"/>
      <c r="J28" s="398"/>
      <c r="K28" s="398"/>
      <c r="L28" s="398"/>
      <c r="M28" s="398"/>
      <c r="N28" s="398"/>
      <c r="O28" s="398"/>
      <c r="S28" s="13"/>
      <c r="T28" s="13"/>
      <c r="U28" s="13"/>
      <c r="V28" s="13"/>
    </row>
    <row r="29" spans="2:22" x14ac:dyDescent="0.25">
      <c r="B29" s="400"/>
      <c r="C29" s="156" t="s">
        <v>35</v>
      </c>
      <c r="D29" s="156" t="s">
        <v>36</v>
      </c>
      <c r="E29" s="156" t="s">
        <v>37</v>
      </c>
      <c r="F29" s="156" t="s">
        <v>38</v>
      </c>
      <c r="G29" s="156" t="s">
        <v>39</v>
      </c>
      <c r="H29" s="156" t="s">
        <v>40</v>
      </c>
      <c r="I29" s="156" t="s">
        <v>41</v>
      </c>
      <c r="J29" s="156" t="s">
        <v>42</v>
      </c>
      <c r="K29" s="156" t="s">
        <v>43</v>
      </c>
      <c r="L29" s="156" t="s">
        <v>44</v>
      </c>
      <c r="M29" s="156" t="s">
        <v>45</v>
      </c>
      <c r="N29" s="156" t="s">
        <v>46</v>
      </c>
      <c r="O29" s="156" t="s">
        <v>15</v>
      </c>
      <c r="S29" s="13"/>
      <c r="T29" s="13"/>
      <c r="U29" s="13"/>
      <c r="V29" s="13"/>
    </row>
    <row r="30" spans="2:22" x14ac:dyDescent="0.25">
      <c r="B30" s="88" t="s">
        <v>58</v>
      </c>
      <c r="C30" s="162">
        <f>C24*$C$33</f>
        <v>2.6608950658140236</v>
      </c>
      <c r="D30" s="162">
        <f t="shared" ref="D30:N30" si="3">D24*$C$33</f>
        <v>2.0844239560231479</v>
      </c>
      <c r="E30" s="162">
        <f t="shared" si="3"/>
        <v>2.3168384785699483</v>
      </c>
      <c r="F30" s="162">
        <f t="shared" si="3"/>
        <v>1.4729403320281866</v>
      </c>
      <c r="G30" s="162">
        <f t="shared" si="3"/>
        <v>1.0404824192727018</v>
      </c>
      <c r="H30" s="162">
        <f t="shared" si="3"/>
        <v>0.88323777929446812</v>
      </c>
      <c r="I30" s="162">
        <f t="shared" si="3"/>
        <v>0.72986873299749599</v>
      </c>
      <c r="J30" s="162">
        <f t="shared" si="3"/>
        <v>0.79446644866006766</v>
      </c>
      <c r="K30" s="162">
        <f t="shared" si="3"/>
        <v>0.73989720926463987</v>
      </c>
      <c r="L30" s="162">
        <f t="shared" si="3"/>
        <v>1.4945937410859587</v>
      </c>
      <c r="M30" s="162">
        <f t="shared" si="3"/>
        <v>2.0616004155085994</v>
      </c>
      <c r="N30" s="162">
        <f t="shared" si="3"/>
        <v>2.7627768615922217</v>
      </c>
      <c r="O30" s="162">
        <f>AVERAGE(C30:N30)</f>
        <v>1.5868351200092883</v>
      </c>
      <c r="S30" s="13"/>
      <c r="T30" s="13"/>
      <c r="U30" s="13"/>
      <c r="V30" s="13"/>
    </row>
    <row r="31" spans="2:22" x14ac:dyDescent="0.25">
      <c r="B31" s="88" t="s">
        <v>59</v>
      </c>
      <c r="C31" s="162">
        <f>C24*$C$34</f>
        <v>5.3217901316280471</v>
      </c>
      <c r="D31" s="162">
        <f t="shared" ref="D31:N31" si="4">D24*$C$34</f>
        <v>4.1688479120462958</v>
      </c>
      <c r="E31" s="162">
        <f t="shared" si="4"/>
        <v>4.6336769571398966</v>
      </c>
      <c r="F31" s="162">
        <f t="shared" si="4"/>
        <v>2.9458806640563733</v>
      </c>
      <c r="G31" s="162">
        <f t="shared" si="4"/>
        <v>2.0809648385454036</v>
      </c>
      <c r="H31" s="162">
        <f t="shared" si="4"/>
        <v>1.7664755585889362</v>
      </c>
      <c r="I31" s="162">
        <f t="shared" si="4"/>
        <v>1.459737465994992</v>
      </c>
      <c r="J31" s="162">
        <f t="shared" si="4"/>
        <v>1.5889328973201353</v>
      </c>
      <c r="K31" s="162">
        <f t="shared" si="4"/>
        <v>1.4797944185292797</v>
      </c>
      <c r="L31" s="162">
        <f t="shared" si="4"/>
        <v>2.9891874821719173</v>
      </c>
      <c r="M31" s="162">
        <f t="shared" si="4"/>
        <v>4.1232008310171988</v>
      </c>
      <c r="N31" s="162">
        <f t="shared" si="4"/>
        <v>5.5255537231844434</v>
      </c>
      <c r="O31" s="162">
        <f>AVERAGE(C31:N31)</f>
        <v>3.1736702400185766</v>
      </c>
      <c r="S31" s="13"/>
      <c r="T31" s="13"/>
      <c r="U31" s="13"/>
      <c r="V31" s="13"/>
    </row>
    <row r="32" spans="2:22" ht="8.4499999999999993" customHeight="1" x14ac:dyDescent="0.25">
      <c r="B32" s="88"/>
      <c r="C32" s="163"/>
      <c r="D32" s="163"/>
      <c r="E32" s="163"/>
      <c r="F32" s="163"/>
      <c r="G32" s="163"/>
      <c r="H32" s="163"/>
      <c r="I32" s="163"/>
      <c r="J32" s="163"/>
      <c r="K32" s="163"/>
      <c r="L32" s="163"/>
      <c r="M32" s="163"/>
      <c r="N32" s="163"/>
      <c r="O32" s="163"/>
      <c r="S32" s="13"/>
      <c r="T32" s="13"/>
      <c r="U32" s="13"/>
      <c r="V32" s="13"/>
    </row>
    <row r="33" spans="2:22" x14ac:dyDescent="0.25">
      <c r="B33" s="88" t="s">
        <v>60</v>
      </c>
      <c r="C33" s="158">
        <f>'DG_SK, Trumpal. kainos'!M22</f>
        <v>1.5</v>
      </c>
      <c r="D33" s="42"/>
      <c r="E33" s="42"/>
      <c r="F33" s="42"/>
      <c r="G33" s="42"/>
      <c r="H33" s="42"/>
      <c r="I33" s="42"/>
      <c r="J33" s="42"/>
      <c r="K33" s="42"/>
      <c r="L33" s="42"/>
      <c r="M33" s="42"/>
      <c r="N33" s="42"/>
      <c r="O33" s="43"/>
      <c r="S33" s="13"/>
      <c r="T33" s="13"/>
      <c r="U33" s="13"/>
      <c r="V33" s="13"/>
    </row>
    <row r="34" spans="2:22" x14ac:dyDescent="0.25">
      <c r="B34" s="88" t="s">
        <v>61</v>
      </c>
      <c r="C34" s="158">
        <f>'DG_SK, Trumpal. kainos'!N22</f>
        <v>3</v>
      </c>
      <c r="D34" s="42"/>
      <c r="E34" s="42"/>
      <c r="F34" s="42"/>
      <c r="G34" s="42"/>
      <c r="H34" s="42"/>
      <c r="I34" s="42"/>
      <c r="J34" s="42"/>
      <c r="K34" s="42"/>
      <c r="L34" s="42"/>
      <c r="M34" s="42"/>
      <c r="N34" s="42"/>
      <c r="O34" s="43"/>
      <c r="S34" s="13"/>
      <c r="T34" s="13"/>
      <c r="U34" s="13"/>
      <c r="V34" s="13"/>
    </row>
    <row r="35" spans="2:22" x14ac:dyDescent="0.25">
      <c r="B35" s="15"/>
      <c r="C35" s="42"/>
      <c r="D35" s="42"/>
      <c r="E35" s="42"/>
      <c r="F35" s="42"/>
      <c r="G35" s="42"/>
      <c r="H35" s="42"/>
      <c r="I35" s="42"/>
      <c r="J35" s="42"/>
      <c r="K35" s="42"/>
      <c r="L35" s="42"/>
      <c r="M35" s="42"/>
      <c r="N35" s="42"/>
      <c r="O35" s="43"/>
      <c r="S35" s="13"/>
      <c r="T35" s="13"/>
      <c r="U35" s="13"/>
      <c r="V35" s="13"/>
    </row>
    <row r="36" spans="2:22" ht="162" customHeight="1" x14ac:dyDescent="0.25">
      <c r="B36" s="399" t="s">
        <v>62</v>
      </c>
      <c r="C36" s="399"/>
      <c r="D36" s="399"/>
      <c r="E36" s="399"/>
      <c r="F36" s="399"/>
      <c r="G36" s="399"/>
      <c r="H36" s="399"/>
      <c r="I36" s="399"/>
      <c r="J36" s="399"/>
      <c r="K36" s="399"/>
      <c r="L36" s="399"/>
      <c r="M36" s="399"/>
      <c r="N36" s="399"/>
      <c r="O36" s="44"/>
      <c r="S36" s="13"/>
      <c r="T36" s="13"/>
      <c r="U36" s="13"/>
      <c r="V36" s="13"/>
    </row>
    <row r="37" spans="2:22" ht="14.45" customHeight="1" x14ac:dyDescent="0.25">
      <c r="B37" s="400"/>
      <c r="C37" s="401" t="s">
        <v>17</v>
      </c>
      <c r="D37" s="402"/>
      <c r="E37" s="402"/>
      <c r="F37" s="402"/>
      <c r="G37" s="402"/>
      <c r="H37" s="402"/>
      <c r="I37" s="402"/>
      <c r="J37" s="402"/>
      <c r="K37" s="402"/>
      <c r="L37" s="402"/>
      <c r="M37" s="402"/>
      <c r="N37" s="403"/>
      <c r="O37" s="47"/>
      <c r="S37" s="13"/>
      <c r="T37" s="13"/>
      <c r="U37" s="13"/>
      <c r="V37" s="13"/>
    </row>
    <row r="38" spans="2:22" x14ac:dyDescent="0.25">
      <c r="B38" s="400"/>
      <c r="C38" s="156" t="s">
        <v>35</v>
      </c>
      <c r="D38" s="156" t="s">
        <v>36</v>
      </c>
      <c r="E38" s="156" t="s">
        <v>37</v>
      </c>
      <c r="F38" s="156" t="s">
        <v>38</v>
      </c>
      <c r="G38" s="156" t="s">
        <v>39</v>
      </c>
      <c r="H38" s="156" t="s">
        <v>40</v>
      </c>
      <c r="I38" s="156" t="s">
        <v>41</v>
      </c>
      <c r="J38" s="156" t="s">
        <v>42</v>
      </c>
      <c r="K38" s="156" t="s">
        <v>43</v>
      </c>
      <c r="L38" s="156" t="s">
        <v>44</v>
      </c>
      <c r="M38" s="156" t="s">
        <v>45</v>
      </c>
      <c r="N38" s="156" t="s">
        <v>46</v>
      </c>
      <c r="O38" s="48"/>
      <c r="S38" s="13"/>
      <c r="T38" s="13"/>
      <c r="U38" s="13"/>
      <c r="V38" s="13"/>
    </row>
    <row r="39" spans="2:22" x14ac:dyDescent="0.25">
      <c r="B39" s="88" t="s">
        <v>63</v>
      </c>
      <c r="C39" s="162">
        <f>C24*$C$42</f>
        <v>1.6768566767027744</v>
      </c>
      <c r="D39" s="162">
        <f t="shared" ref="D39:N39" si="5">D24*$C$42</f>
        <v>1.3135731177987457</v>
      </c>
      <c r="E39" s="162">
        <f t="shared" si="5"/>
        <v>1.4600373090787069</v>
      </c>
      <c r="F39" s="162">
        <f t="shared" si="5"/>
        <v>0.9282251907933351</v>
      </c>
      <c r="G39" s="162">
        <f t="shared" si="5"/>
        <v>0.65569661658774692</v>
      </c>
      <c r="H39" s="162">
        <f t="shared" si="5"/>
        <v>0.55660337243436997</v>
      </c>
      <c r="I39" s="162">
        <f t="shared" si="5"/>
        <v>0.4599524700418931</v>
      </c>
      <c r="J39" s="162">
        <f t="shared" si="5"/>
        <v>0.50066099410215803</v>
      </c>
      <c r="K39" s="162">
        <f t="shared" si="5"/>
        <v>0.46627226731678895</v>
      </c>
      <c r="L39" s="162">
        <f t="shared" si="5"/>
        <v>0.94187084860915493</v>
      </c>
      <c r="M39" s="162">
        <f t="shared" si="5"/>
        <v>1.2991900604623194</v>
      </c>
      <c r="N39" s="162">
        <f t="shared" si="5"/>
        <v>1.7410610760720056</v>
      </c>
      <c r="O39" s="46"/>
      <c r="S39" s="13"/>
      <c r="T39" s="13"/>
      <c r="U39" s="13"/>
      <c r="V39" s="13"/>
    </row>
    <row r="40" spans="2:22" x14ac:dyDescent="0.25">
      <c r="B40" s="88" t="s">
        <v>64</v>
      </c>
      <c r="C40" s="162">
        <f>C24*$C$43</f>
        <v>1.6768566767027744</v>
      </c>
      <c r="D40" s="162">
        <f t="shared" ref="D40:N40" si="6">D24*$C$43</f>
        <v>1.3135731177987457</v>
      </c>
      <c r="E40" s="162">
        <f t="shared" si="6"/>
        <v>1.4600373090787069</v>
      </c>
      <c r="F40" s="162">
        <f t="shared" si="6"/>
        <v>0.9282251907933351</v>
      </c>
      <c r="G40" s="162">
        <f t="shared" si="6"/>
        <v>0.65569661658774692</v>
      </c>
      <c r="H40" s="162">
        <f t="shared" si="6"/>
        <v>0.55660337243436997</v>
      </c>
      <c r="I40" s="162">
        <f t="shared" si="6"/>
        <v>0.4599524700418931</v>
      </c>
      <c r="J40" s="162">
        <f t="shared" si="6"/>
        <v>0.50066099410215803</v>
      </c>
      <c r="K40" s="162">
        <f t="shared" si="6"/>
        <v>0.46627226731678895</v>
      </c>
      <c r="L40" s="162">
        <f t="shared" si="6"/>
        <v>0.94187084860915493</v>
      </c>
      <c r="M40" s="162">
        <f t="shared" si="6"/>
        <v>1.2991900604623194</v>
      </c>
      <c r="N40" s="162">
        <f t="shared" si="6"/>
        <v>1.7410610760720056</v>
      </c>
      <c r="O40" s="46"/>
      <c r="S40" s="13"/>
      <c r="T40" s="13"/>
      <c r="U40" s="13"/>
      <c r="V40" s="13"/>
    </row>
    <row r="41" spans="2:22" ht="7.15" customHeight="1" x14ac:dyDescent="0.25">
      <c r="B41" s="88"/>
      <c r="C41" s="163"/>
      <c r="D41" s="163"/>
      <c r="E41" s="163"/>
      <c r="F41" s="163"/>
      <c r="G41" s="163"/>
      <c r="H41" s="163"/>
      <c r="I41" s="163"/>
      <c r="J41" s="163"/>
      <c r="K41" s="163"/>
      <c r="L41" s="163"/>
      <c r="M41" s="163"/>
      <c r="N41" s="163"/>
      <c r="O41" s="46"/>
      <c r="S41" s="13"/>
      <c r="T41" s="13"/>
      <c r="U41" s="13"/>
      <c r="V41" s="13"/>
    </row>
    <row r="42" spans="2:22" x14ac:dyDescent="0.25">
      <c r="B42" s="88" t="s">
        <v>65</v>
      </c>
      <c r="C42" s="162">
        <f>IF(O30&gt;1.5,1.5/O30,IF(O30&lt;1,1/O30,1))</f>
        <v>0.94527779293870173</v>
      </c>
      <c r="D42" s="46"/>
      <c r="E42" s="42"/>
      <c r="F42" s="42"/>
      <c r="G42" s="42"/>
      <c r="H42" s="42"/>
      <c r="I42" s="42"/>
      <c r="J42" s="42"/>
      <c r="K42" s="42"/>
      <c r="L42" s="42"/>
      <c r="M42" s="42"/>
      <c r="N42" s="42"/>
      <c r="O42" s="43"/>
      <c r="S42" s="13"/>
      <c r="T42" s="13"/>
      <c r="U42" s="13"/>
      <c r="V42" s="13"/>
    </row>
    <row r="43" spans="2:22" x14ac:dyDescent="0.25">
      <c r="B43" s="88" t="s">
        <v>66</v>
      </c>
      <c r="C43" s="162">
        <f>IF(O31&gt;3,3/O31,IF(O31&lt;1,1/O31,1))</f>
        <v>0.94527779293870173</v>
      </c>
      <c r="D43" s="46"/>
      <c r="E43" s="42"/>
      <c r="F43" s="42"/>
      <c r="G43" s="42"/>
      <c r="H43" s="42"/>
      <c r="I43" s="42"/>
      <c r="J43" s="42"/>
      <c r="K43" s="42"/>
      <c r="L43" s="42"/>
      <c r="M43" s="42"/>
      <c r="N43" s="42"/>
      <c r="O43" s="43"/>
      <c r="S43" s="13"/>
      <c r="T43" s="13"/>
      <c r="U43" s="13"/>
      <c r="V43" s="13"/>
    </row>
    <row r="44" spans="2:22" x14ac:dyDescent="0.25">
      <c r="B44" s="15"/>
      <c r="C44" s="42"/>
      <c r="D44" s="42"/>
      <c r="E44" s="42"/>
      <c r="F44" s="42"/>
      <c r="G44" s="42"/>
      <c r="H44" s="42"/>
      <c r="I44" s="42"/>
      <c r="J44" s="42"/>
      <c r="K44" s="42"/>
      <c r="L44" s="42"/>
      <c r="M44" s="42"/>
      <c r="N44" s="42"/>
      <c r="O44" s="43"/>
      <c r="S44" s="13"/>
      <c r="T44" s="13"/>
      <c r="U44" s="13"/>
      <c r="V44" s="13"/>
    </row>
    <row r="45" spans="2:22" ht="98.45" customHeight="1" x14ac:dyDescent="0.25">
      <c r="B45" s="399" t="s">
        <v>67</v>
      </c>
      <c r="C45" s="399"/>
      <c r="D45" s="399"/>
      <c r="E45" s="399"/>
      <c r="F45" s="399"/>
      <c r="G45" s="399"/>
      <c r="H45" s="399"/>
      <c r="I45" s="399"/>
      <c r="J45" s="399"/>
      <c r="K45" s="399"/>
      <c r="L45" s="399"/>
      <c r="M45" s="399"/>
      <c r="N45" s="399"/>
      <c r="O45" s="44"/>
      <c r="S45" s="13"/>
      <c r="T45" s="13"/>
      <c r="U45" s="13"/>
      <c r="V45" s="13"/>
    </row>
    <row r="46" spans="2:22" ht="14.45" customHeight="1" x14ac:dyDescent="0.25">
      <c r="B46" s="400"/>
      <c r="C46" s="398" t="s">
        <v>73</v>
      </c>
      <c r="D46" s="398"/>
      <c r="E46" s="398"/>
      <c r="F46" s="398"/>
      <c r="G46" s="47"/>
      <c r="H46" s="47"/>
      <c r="I46" s="47"/>
      <c r="J46" s="47"/>
      <c r="K46" s="47"/>
      <c r="L46" s="47"/>
      <c r="M46" s="47"/>
      <c r="N46" s="47"/>
      <c r="O46" s="47"/>
      <c r="S46" s="13"/>
      <c r="T46" s="13"/>
      <c r="U46" s="13"/>
      <c r="V46" s="13"/>
    </row>
    <row r="47" spans="2:22" x14ac:dyDescent="0.25">
      <c r="B47" s="400"/>
      <c r="C47" s="156" t="s">
        <v>9</v>
      </c>
      <c r="D47" s="156" t="s">
        <v>10</v>
      </c>
      <c r="E47" s="156" t="s">
        <v>11</v>
      </c>
      <c r="F47" s="156" t="s">
        <v>12</v>
      </c>
      <c r="G47" s="48"/>
      <c r="H47" s="48"/>
      <c r="I47" s="48"/>
      <c r="J47" s="48"/>
      <c r="K47" s="48"/>
      <c r="L47" s="48"/>
      <c r="M47" s="48"/>
      <c r="N47" s="48"/>
      <c r="O47" s="48"/>
      <c r="S47" s="13"/>
      <c r="T47" s="13"/>
      <c r="U47" s="13"/>
      <c r="V47" s="13"/>
    </row>
    <row r="48" spans="2:22" x14ac:dyDescent="0.25">
      <c r="B48" s="88" t="s">
        <v>68</v>
      </c>
      <c r="C48" s="162">
        <f>AVERAGE(C39:E39)</f>
        <v>1.4834890345267422</v>
      </c>
      <c r="D48" s="162">
        <f>AVERAGE(F39:H39)</f>
        <v>0.71350839327181736</v>
      </c>
      <c r="E48" s="162">
        <f>AVERAGE(I39:K39)</f>
        <v>0.47562857715361334</v>
      </c>
      <c r="F48" s="162">
        <f>AVERAGE(L39:N39)</f>
        <v>1.3273739950478267</v>
      </c>
      <c r="G48" s="46"/>
      <c r="H48" s="46"/>
      <c r="I48" s="46"/>
      <c r="J48" s="46"/>
      <c r="K48" s="46"/>
      <c r="L48" s="46"/>
      <c r="M48" s="46"/>
      <c r="N48" s="46"/>
      <c r="O48" s="46"/>
      <c r="S48" s="13"/>
      <c r="T48" s="13"/>
      <c r="U48" s="13"/>
      <c r="V48" s="13"/>
    </row>
    <row r="49" spans="2:22" x14ac:dyDescent="0.25">
      <c r="B49" s="15"/>
      <c r="C49" s="42"/>
      <c r="D49" s="42"/>
      <c r="E49" s="42"/>
      <c r="F49" s="42"/>
      <c r="G49" s="42"/>
      <c r="H49" s="42"/>
      <c r="I49" s="42"/>
      <c r="J49" s="42"/>
      <c r="K49" s="42"/>
      <c r="L49" s="42"/>
      <c r="M49" s="42"/>
      <c r="N49" s="42"/>
      <c r="O49" s="43"/>
      <c r="S49" s="13"/>
      <c r="T49" s="13"/>
      <c r="U49" s="13"/>
      <c r="V49" s="13"/>
    </row>
    <row r="50" spans="2:22" ht="29.45" customHeight="1" x14ac:dyDescent="0.25">
      <c r="B50" s="399" t="s">
        <v>69</v>
      </c>
      <c r="C50" s="399"/>
      <c r="D50" s="399"/>
      <c r="E50" s="399"/>
      <c r="F50" s="399"/>
      <c r="G50" s="399"/>
      <c r="H50" s="399"/>
      <c r="I50" s="399"/>
      <c r="J50" s="399"/>
      <c r="K50" s="399"/>
      <c r="L50" s="399"/>
      <c r="M50" s="399"/>
      <c r="N50" s="399"/>
      <c r="O50" s="80"/>
      <c r="S50" s="13"/>
      <c r="T50" s="13"/>
      <c r="U50" s="13"/>
      <c r="V50" s="13"/>
    </row>
    <row r="51" spans="2:22" ht="14.45" customHeight="1" x14ac:dyDescent="0.25">
      <c r="B51" s="400"/>
      <c r="C51" s="398" t="s">
        <v>50</v>
      </c>
      <c r="D51" s="398"/>
      <c r="E51" s="398"/>
      <c r="F51" s="398"/>
      <c r="G51" s="398"/>
      <c r="H51" s="398"/>
      <c r="I51" s="398"/>
      <c r="J51" s="398"/>
      <c r="K51" s="398"/>
      <c r="L51" s="398"/>
      <c r="M51" s="398"/>
      <c r="N51" s="398"/>
      <c r="O51" s="398"/>
      <c r="S51" s="13"/>
      <c r="T51" s="13"/>
      <c r="U51" s="13"/>
      <c r="V51" s="13"/>
    </row>
    <row r="52" spans="2:22" x14ac:dyDescent="0.25">
      <c r="B52" s="400"/>
      <c r="C52" s="156" t="s">
        <v>35</v>
      </c>
      <c r="D52" s="156" t="s">
        <v>36</v>
      </c>
      <c r="E52" s="156" t="s">
        <v>37</v>
      </c>
      <c r="F52" s="156" t="s">
        <v>38</v>
      </c>
      <c r="G52" s="156" t="s">
        <v>39</v>
      </c>
      <c r="H52" s="156" t="s">
        <v>40</v>
      </c>
      <c r="I52" s="156" t="s">
        <v>41</v>
      </c>
      <c r="J52" s="156" t="s">
        <v>42</v>
      </c>
      <c r="K52" s="156" t="s">
        <v>43</v>
      </c>
      <c r="L52" s="156" t="s">
        <v>44</v>
      </c>
      <c r="M52" s="156" t="s">
        <v>45</v>
      </c>
      <c r="N52" s="156" t="s">
        <v>46</v>
      </c>
      <c r="O52" s="156" t="s">
        <v>15</v>
      </c>
      <c r="S52" s="13"/>
      <c r="T52" s="13"/>
      <c r="U52" s="13"/>
      <c r="V52" s="13"/>
    </row>
    <row r="53" spans="2:22" x14ac:dyDescent="0.25">
      <c r="B53" s="88" t="s">
        <v>70</v>
      </c>
      <c r="C53" s="164">
        <f>ROUND(C39,2)</f>
        <v>1.68</v>
      </c>
      <c r="D53" s="164">
        <f t="shared" ref="D53:N53" si="7">ROUND(D39,2)</f>
        <v>1.31</v>
      </c>
      <c r="E53" s="164">
        <f t="shared" si="7"/>
        <v>1.46</v>
      </c>
      <c r="F53" s="164">
        <f t="shared" si="7"/>
        <v>0.93</v>
      </c>
      <c r="G53" s="164">
        <f t="shared" si="7"/>
        <v>0.66</v>
      </c>
      <c r="H53" s="164">
        <f t="shared" si="7"/>
        <v>0.56000000000000005</v>
      </c>
      <c r="I53" s="164">
        <f t="shared" si="7"/>
        <v>0.46</v>
      </c>
      <c r="J53" s="164">
        <f t="shared" si="7"/>
        <v>0.5</v>
      </c>
      <c r="K53" s="164">
        <f t="shared" si="7"/>
        <v>0.47</v>
      </c>
      <c r="L53" s="164">
        <f t="shared" si="7"/>
        <v>0.94</v>
      </c>
      <c r="M53" s="164">
        <f t="shared" si="7"/>
        <v>1.3</v>
      </c>
      <c r="N53" s="164">
        <f t="shared" si="7"/>
        <v>1.74</v>
      </c>
      <c r="O53" s="164">
        <f>AVERAGE(C53:N53)</f>
        <v>1.0008333333333332</v>
      </c>
      <c r="S53" s="13"/>
      <c r="T53" s="13"/>
      <c r="U53" s="13"/>
      <c r="V53" s="13"/>
    </row>
    <row r="54" spans="2:22" x14ac:dyDescent="0.25">
      <c r="B54" s="88" t="s">
        <v>71</v>
      </c>
      <c r="C54" s="164">
        <f>ROUND(C40,2)</f>
        <v>1.68</v>
      </c>
      <c r="D54" s="164">
        <f t="shared" ref="D54:N54" si="8">ROUND(D40,2)</f>
        <v>1.31</v>
      </c>
      <c r="E54" s="164">
        <f t="shared" si="8"/>
        <v>1.46</v>
      </c>
      <c r="F54" s="164">
        <f t="shared" si="8"/>
        <v>0.93</v>
      </c>
      <c r="G54" s="164">
        <f t="shared" si="8"/>
        <v>0.66</v>
      </c>
      <c r="H54" s="164">
        <f t="shared" si="8"/>
        <v>0.56000000000000005</v>
      </c>
      <c r="I54" s="164">
        <f t="shared" si="8"/>
        <v>0.46</v>
      </c>
      <c r="J54" s="164">
        <f t="shared" si="8"/>
        <v>0.5</v>
      </c>
      <c r="K54" s="164">
        <f t="shared" si="8"/>
        <v>0.47</v>
      </c>
      <c r="L54" s="164">
        <f t="shared" si="8"/>
        <v>0.94</v>
      </c>
      <c r="M54" s="164">
        <f t="shared" si="8"/>
        <v>1.3</v>
      </c>
      <c r="N54" s="164">
        <f t="shared" si="8"/>
        <v>1.74</v>
      </c>
      <c r="O54" s="164">
        <f>AVERAGE(C54:N54)</f>
        <v>1.0008333333333332</v>
      </c>
      <c r="S54" s="13"/>
      <c r="T54" s="13"/>
      <c r="U54" s="13"/>
      <c r="V54" s="13"/>
    </row>
    <row r="55" spans="2:22" x14ac:dyDescent="0.25">
      <c r="B55" s="81"/>
      <c r="C55" s="156" t="s">
        <v>9</v>
      </c>
      <c r="D55" s="156" t="s">
        <v>10</v>
      </c>
      <c r="E55" s="156" t="s">
        <v>11</v>
      </c>
      <c r="F55" s="156" t="s">
        <v>12</v>
      </c>
      <c r="G55" s="156" t="s">
        <v>15</v>
      </c>
      <c r="H55" s="48"/>
      <c r="I55" s="48"/>
      <c r="J55" s="48"/>
      <c r="K55" s="48"/>
      <c r="L55" s="48"/>
      <c r="M55" s="48"/>
      <c r="N55" s="48"/>
      <c r="O55" s="43"/>
      <c r="S55" s="13"/>
      <c r="T55" s="13"/>
      <c r="U55" s="13"/>
      <c r="V55" s="13"/>
    </row>
    <row r="56" spans="2:22" x14ac:dyDescent="0.25">
      <c r="B56" s="88" t="s">
        <v>72</v>
      </c>
      <c r="C56" s="164">
        <f>ROUND(C48,2)</f>
        <v>1.48</v>
      </c>
      <c r="D56" s="164">
        <f t="shared" ref="D56:F56" si="9">ROUND(D48,2)</f>
        <v>0.71</v>
      </c>
      <c r="E56" s="164">
        <f t="shared" si="9"/>
        <v>0.48</v>
      </c>
      <c r="F56" s="164">
        <f t="shared" si="9"/>
        <v>1.33</v>
      </c>
      <c r="G56" s="164">
        <f>AVERAGE(C56:F56)</f>
        <v>1</v>
      </c>
      <c r="H56" s="46"/>
      <c r="I56" s="46"/>
      <c r="J56" s="46"/>
      <c r="K56" s="46"/>
      <c r="L56" s="46"/>
      <c r="M56" s="46"/>
      <c r="N56" s="46"/>
      <c r="O56" s="43"/>
      <c r="S56" s="13"/>
      <c r="T56" s="13"/>
      <c r="U56" s="13"/>
      <c r="V56" s="13"/>
    </row>
    <row r="57" spans="2:22" x14ac:dyDescent="0.25">
      <c r="B57" s="15"/>
      <c r="C57" s="42"/>
      <c r="D57" s="42"/>
      <c r="E57" s="42"/>
      <c r="F57" s="42"/>
      <c r="G57" s="42"/>
      <c r="H57" s="42"/>
      <c r="I57" s="42"/>
      <c r="J57" s="42"/>
      <c r="K57" s="42"/>
      <c r="L57" s="42"/>
      <c r="M57" s="42"/>
      <c r="N57" s="42"/>
      <c r="O57" s="43"/>
      <c r="S57" s="13"/>
      <c r="T57" s="13"/>
      <c r="U57" s="13"/>
      <c r="V57" s="13"/>
    </row>
    <row r="58" spans="2:22" x14ac:dyDescent="0.25">
      <c r="C58" s="57"/>
      <c r="D58" s="49"/>
      <c r="E58" s="49"/>
      <c r="F58" s="49"/>
      <c r="S58" s="33"/>
    </row>
    <row r="59" spans="2:22" x14ac:dyDescent="0.25">
      <c r="B59" s="58"/>
      <c r="C59" s="56"/>
    </row>
  </sheetData>
  <mergeCells count="24">
    <mergeCell ref="C37:N37"/>
    <mergeCell ref="B45:N45"/>
    <mergeCell ref="B6:O6"/>
    <mergeCell ref="C7:O7"/>
    <mergeCell ref="B11:O11"/>
    <mergeCell ref="C12:O12"/>
    <mergeCell ref="B7:B8"/>
    <mergeCell ref="B12:B13"/>
    <mergeCell ref="C46:F46"/>
    <mergeCell ref="B50:N50"/>
    <mergeCell ref="C51:O51"/>
    <mergeCell ref="B16:N16"/>
    <mergeCell ref="C22:N22"/>
    <mergeCell ref="B22:B23"/>
    <mergeCell ref="B21:N21"/>
    <mergeCell ref="B51:B52"/>
    <mergeCell ref="B46:B47"/>
    <mergeCell ref="B28:B29"/>
    <mergeCell ref="B37:B38"/>
    <mergeCell ref="C17:N17"/>
    <mergeCell ref="B17:B18"/>
    <mergeCell ref="B27:O27"/>
    <mergeCell ref="C28:O28"/>
    <mergeCell ref="B36:N36"/>
  </mergeCells>
  <dataValidations disablePrompts="1" count="2">
    <dataValidation operator="greaterThan" allowBlank="1" showInputMessage="1" showErrorMessage="1" sqref="C9:N9" xr:uid="{0DA29914-2320-4990-AE0B-DE91A36D4CB8}"/>
    <dataValidation type="decimal" allowBlank="1" showInputMessage="1" showErrorMessage="1" errorTitle="Invalid data" error="Values between 0 and 2 must be entered." sqref="C25" xr:uid="{00000000-0002-0000-0200-000001000000}">
      <formula1>0</formula1>
      <formula2>2</formula2>
    </dataValidation>
  </dataValidations>
  <pageMargins left="0.7" right="0.7" top="0.75" bottom="0.75" header="0.3" footer="0.3"/>
  <pageSetup paperSize="9" scale="3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20CFF39F4DBC42B17CE9C9019BEF2A" ma:contentTypeVersion="13" ma:contentTypeDescription="Create a new document." ma:contentTypeScope="" ma:versionID="8c74dd80cb6937d768df1df75c740e9d">
  <xsd:schema xmlns:xsd="http://www.w3.org/2001/XMLSchema" xmlns:xs="http://www.w3.org/2001/XMLSchema" xmlns:p="http://schemas.microsoft.com/office/2006/metadata/properties" xmlns:ns2="7d64f92b-5087-432f-bc72-197b11021e2d" xmlns:ns3="20a07c10-6e21-4686-8683-b21ded9c5c68" targetNamespace="http://schemas.microsoft.com/office/2006/metadata/properties" ma:root="true" ma:fieldsID="a5822a19b5cafc31908036e05455b0a8" ns2:_="" ns3:_="">
    <xsd:import namespace="7d64f92b-5087-432f-bc72-197b11021e2d"/>
    <xsd:import namespace="20a07c10-6e21-4686-8683-b21ded9c5c6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64f92b-5087-432f-bc72-197b11021e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2b345c9-fbff-4881-8138-0e26af7d90ce"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a07c10-6e21-4686-8683-b21ded9c5c6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fc64c14-8e34-4df9-8b10-6d9463d65a78}" ma:internalName="TaxCatchAll" ma:showField="CatchAllData" ma:web="20a07c10-6e21-4686-8683-b21ded9c5c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d64f92b-5087-432f-bc72-197b11021e2d">
      <Terms xmlns="http://schemas.microsoft.com/office/infopath/2007/PartnerControls"/>
    </lcf76f155ced4ddcb4097134ff3c332f>
    <TaxCatchAll xmlns="20a07c10-6e21-4686-8683-b21ded9c5c68" xsi:nil="true"/>
  </documentManagement>
</p:properties>
</file>

<file path=customXml/itemProps1.xml><?xml version="1.0" encoding="utf-8"?>
<ds:datastoreItem xmlns:ds="http://schemas.openxmlformats.org/officeDocument/2006/customXml" ds:itemID="{91B95E65-338D-418C-8B1A-90306EB5696C}">
  <ds:schemaRefs>
    <ds:schemaRef ds:uri="http://schemas.microsoft.com/sharepoint/v3/contenttype/forms"/>
  </ds:schemaRefs>
</ds:datastoreItem>
</file>

<file path=customXml/itemProps2.xml><?xml version="1.0" encoding="utf-8"?>
<ds:datastoreItem xmlns:ds="http://schemas.openxmlformats.org/officeDocument/2006/customXml" ds:itemID="{81CE1D04-AB9A-4CD2-A548-EE8E3A6BB2C1}"/>
</file>

<file path=customXml/itemProps3.xml><?xml version="1.0" encoding="utf-8"?>
<ds:datastoreItem xmlns:ds="http://schemas.openxmlformats.org/officeDocument/2006/customXml" ds:itemID="{E7228C7C-962B-46A6-9375-32338413FF88}">
  <ds:schemaRefs>
    <ds:schemaRef ds:uri="http://schemas.microsoft.com/office/2006/metadata/properties"/>
    <ds:schemaRef ds:uri="http://schemas.microsoft.com/office/infopath/2007/PartnerControls"/>
    <ds:schemaRef ds:uri="297d6d67-8a25-4577-95eb-511929e58bf4"/>
    <ds:schemaRef ds:uri="f0afdd0e-4965-4a73-babb-e95f32a840db"/>
  </ds:schemaRefs>
</ds:datastoreItem>
</file>

<file path=docMetadata/LabelInfo.xml><?xml version="1.0" encoding="utf-8"?>
<clbl:labelList xmlns:clbl="http://schemas.microsoft.com/office/2020/mipLabelMetadata">
  <clbl:label id="{40a194c4-decd-49a7-b39f-0e1f771bc324}" enabled="1" method="Privileged" siteId="{e54289c6-b630-4215-acc5-57eec01212d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Kainos 2026-2028</vt:lpstr>
      <vt:lpstr>DG_SK, Trumpal. kainos</vt:lpstr>
      <vt:lpstr>SK skaičiavimas_Vieningi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2025-11-25T07:39:18Z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5d43cbe-1d34-4aee-b177-a8008a220178_Enabled">
    <vt:lpwstr>true</vt:lpwstr>
  </property>
  <property fmtid="{D5CDD505-2E9C-101B-9397-08002B2CF9AE}" pid="3" name="MSIP_Label_25d43cbe-1d34-4aee-b177-a8008a220178_SetDate">
    <vt:lpwstr>2022-05-11T08:34:56Z</vt:lpwstr>
  </property>
  <property fmtid="{D5CDD505-2E9C-101B-9397-08002B2CF9AE}" pid="4" name="MSIP_Label_25d43cbe-1d34-4aee-b177-a8008a220178_Method">
    <vt:lpwstr>Privileged</vt:lpwstr>
  </property>
  <property fmtid="{D5CDD505-2E9C-101B-9397-08002B2CF9AE}" pid="5" name="MSIP_Label_25d43cbe-1d34-4aee-b177-a8008a220178_Name">
    <vt:lpwstr>ExternalUnprotected</vt:lpwstr>
  </property>
  <property fmtid="{D5CDD505-2E9C-101B-9397-08002B2CF9AE}" pid="6" name="MSIP_Label_25d43cbe-1d34-4aee-b177-a8008a220178_SiteId">
    <vt:lpwstr>e54289c6-b630-4215-acc5-57eec01212d6</vt:lpwstr>
  </property>
  <property fmtid="{D5CDD505-2E9C-101B-9397-08002B2CF9AE}" pid="7" name="MSIP_Label_25d43cbe-1d34-4aee-b177-a8008a220178_ActionId">
    <vt:lpwstr>5820e0e8-db43-4540-853b-dc53ed50787d</vt:lpwstr>
  </property>
  <property fmtid="{D5CDD505-2E9C-101B-9397-08002B2CF9AE}" pid="8" name="MSIP_Label_25d43cbe-1d34-4aee-b177-a8008a220178_ContentBits">
    <vt:lpwstr>0</vt:lpwstr>
  </property>
  <property fmtid="{D5CDD505-2E9C-101B-9397-08002B2CF9AE}" pid="9" name="ContentTypeId">
    <vt:lpwstr>0x010100BF20CFF39F4DBC42B17CE9C9019BEF2A</vt:lpwstr>
  </property>
  <property fmtid="{D5CDD505-2E9C-101B-9397-08002B2CF9AE}" pid="10" name="MediaServiceImageTags">
    <vt:lpwstr/>
  </property>
</Properties>
</file>